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FCC16991-AD07-42EC-8ABE-B6D228E19A05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tart" sheetId="2" r:id="rId1"/>
    <sheet name="April 2020" sheetId="1" r:id="rId2"/>
    <sheet name="May Budg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2" i="1" l="1"/>
  <c r="D83" i="1"/>
  <c r="J74" i="1"/>
  <c r="C10" i="1"/>
  <c r="D85" i="3"/>
  <c r="C85" i="3"/>
  <c r="C12" i="3"/>
  <c r="E85" i="3" l="1"/>
  <c r="H6" i="3"/>
  <c r="H4" i="3"/>
  <c r="J72" i="1"/>
  <c r="J73" i="1"/>
  <c r="J75" i="1"/>
  <c r="J76" i="1"/>
  <c r="J77" i="1"/>
  <c r="J78" i="1"/>
  <c r="J79" i="1"/>
  <c r="J80" i="1"/>
  <c r="J81" i="1"/>
  <c r="J82" i="1"/>
  <c r="J83" i="1"/>
  <c r="J71" i="1"/>
  <c r="I84" i="1"/>
  <c r="H84" i="1"/>
  <c r="C39" i="1"/>
  <c r="H59" i="1"/>
  <c r="I59" i="1"/>
  <c r="H52" i="1"/>
  <c r="I52" i="1"/>
  <c r="H46" i="1"/>
  <c r="I46" i="1"/>
  <c r="H40" i="1"/>
  <c r="I40" i="1"/>
  <c r="H33" i="1"/>
  <c r="I33" i="1"/>
  <c r="H24" i="1"/>
  <c r="I24" i="1"/>
  <c r="C66" i="1"/>
  <c r="D66" i="1"/>
  <c r="E60" i="1"/>
  <c r="E61" i="1"/>
  <c r="E62" i="1"/>
  <c r="E63" i="1"/>
  <c r="E64" i="1"/>
  <c r="E65" i="1"/>
  <c r="E59" i="1"/>
  <c r="C56" i="1"/>
  <c r="D56" i="1"/>
  <c r="C48" i="1"/>
  <c r="D48" i="1"/>
  <c r="C42" i="1"/>
  <c r="D42" i="1"/>
  <c r="C35" i="1"/>
  <c r="D35" i="1"/>
  <c r="J57" i="1"/>
  <c r="E81" i="1"/>
  <c r="E46" i="1"/>
  <c r="E47" i="1"/>
  <c r="E45" i="1"/>
  <c r="C84" i="1"/>
  <c r="D84" i="1"/>
  <c r="H8" i="3" l="1"/>
  <c r="J84" i="1"/>
  <c r="E82" i="1" l="1"/>
  <c r="E78" i="1"/>
  <c r="E79" i="1"/>
  <c r="E80" i="1"/>
  <c r="J17" i="1"/>
  <c r="H43" i="1"/>
  <c r="H39" i="1"/>
  <c r="H38" i="1"/>
  <c r="H36" i="1"/>
  <c r="H37" i="1"/>
  <c r="C40" i="1"/>
  <c r="E74" i="1"/>
  <c r="E75" i="1"/>
  <c r="E71" i="1"/>
  <c r="E83" i="1"/>
  <c r="E77" i="1"/>
  <c r="E76" i="1"/>
  <c r="E73" i="1"/>
  <c r="E72" i="1"/>
  <c r="E28" i="1"/>
  <c r="C23" i="1"/>
  <c r="C25" i="1"/>
  <c r="D25" i="1"/>
  <c r="E84" i="1" l="1"/>
  <c r="E15" i="1"/>
  <c r="E16" i="1"/>
  <c r="E17" i="1"/>
  <c r="E18" i="1"/>
  <c r="E19" i="1"/>
  <c r="E20" i="1"/>
  <c r="E21" i="1"/>
  <c r="E22" i="1"/>
  <c r="E23" i="1"/>
  <c r="E24" i="1"/>
  <c r="C12" i="1"/>
  <c r="C7" i="1"/>
  <c r="J63" i="1"/>
  <c r="J61" i="1"/>
  <c r="J55" i="1"/>
  <c r="J56" i="1"/>
  <c r="J58" i="1"/>
  <c r="J49" i="1"/>
  <c r="J50" i="1"/>
  <c r="J51" i="1"/>
  <c r="J43" i="1"/>
  <c r="J44" i="1"/>
  <c r="J45" i="1"/>
  <c r="J36" i="1"/>
  <c r="J37" i="1"/>
  <c r="J38" i="1"/>
  <c r="J39" i="1"/>
  <c r="J27" i="1"/>
  <c r="J28" i="1"/>
  <c r="J29" i="1"/>
  <c r="J30" i="1"/>
  <c r="J31" i="1"/>
  <c r="J32" i="1"/>
  <c r="J15" i="1"/>
  <c r="J16" i="1"/>
  <c r="J18" i="1"/>
  <c r="J19" i="1"/>
  <c r="J20" i="1"/>
  <c r="J21" i="1"/>
  <c r="J22" i="1"/>
  <c r="J23" i="1"/>
  <c r="E51" i="1"/>
  <c r="E52" i="1"/>
  <c r="E53" i="1"/>
  <c r="E54" i="1"/>
  <c r="E55" i="1"/>
  <c r="E38" i="1"/>
  <c r="E39" i="1"/>
  <c r="E40" i="1"/>
  <c r="E41" i="1"/>
  <c r="E29" i="1"/>
  <c r="E30" i="1"/>
  <c r="E31" i="1"/>
  <c r="E32" i="1"/>
  <c r="E33" i="1"/>
  <c r="E34" i="1"/>
  <c r="E42" i="1" l="1"/>
  <c r="J33" i="1"/>
  <c r="E56" i="1"/>
  <c r="J24" i="1"/>
  <c r="J40" i="1"/>
  <c r="J46" i="1"/>
  <c r="E48" i="1"/>
  <c r="E35" i="1"/>
  <c r="J65" i="1"/>
  <c r="H4" i="1"/>
  <c r="E25" i="1"/>
  <c r="J52" i="1"/>
  <c r="J59" i="1"/>
  <c r="H6" i="1"/>
  <c r="E66" i="1"/>
  <c r="H8" i="1" l="1"/>
</calcChain>
</file>

<file path=xl/sharedStrings.xml><?xml version="1.0" encoding="utf-8"?>
<sst xmlns="http://schemas.openxmlformats.org/spreadsheetml/2006/main" count="381" uniqueCount="145">
  <si>
    <t>Income 1</t>
  </si>
  <si>
    <t>Extra income</t>
  </si>
  <si>
    <t>Total monthly income</t>
  </si>
  <si>
    <t>HOUSING</t>
  </si>
  <si>
    <t>Projected Cost</t>
  </si>
  <si>
    <t>Actual Cost</t>
  </si>
  <si>
    <t>Difference</t>
  </si>
  <si>
    <t>ENTERTAINMENT</t>
  </si>
  <si>
    <t>Video/DVD</t>
  </si>
  <si>
    <t>Phone</t>
  </si>
  <si>
    <t>CDs</t>
  </si>
  <si>
    <t>Electricity</t>
  </si>
  <si>
    <t>Movies</t>
  </si>
  <si>
    <t>Gas</t>
  </si>
  <si>
    <t>Concerts</t>
  </si>
  <si>
    <t>Sporting events</t>
  </si>
  <si>
    <t>Cable</t>
  </si>
  <si>
    <t>Live theater</t>
  </si>
  <si>
    <t>Waste removal</t>
  </si>
  <si>
    <t>Other</t>
  </si>
  <si>
    <t>Maintenance or repairs</t>
  </si>
  <si>
    <t>LOANS</t>
  </si>
  <si>
    <t>TRANSPORTATION</t>
  </si>
  <si>
    <t>Personal</t>
  </si>
  <si>
    <t>Vehicle payment</t>
  </si>
  <si>
    <t>Student</t>
  </si>
  <si>
    <t>Bus/taxi fare</t>
  </si>
  <si>
    <t>Insurance</t>
  </si>
  <si>
    <t>Licensing</t>
  </si>
  <si>
    <t>Fuel</t>
  </si>
  <si>
    <t>Maintenance</t>
  </si>
  <si>
    <t>TAXES</t>
  </si>
  <si>
    <t>Federal</t>
  </si>
  <si>
    <t>INSURANCE</t>
  </si>
  <si>
    <t>State</t>
  </si>
  <si>
    <t>Home</t>
  </si>
  <si>
    <t>Health</t>
  </si>
  <si>
    <t>Life</t>
  </si>
  <si>
    <t>SAVINGS OR INVESTMENTS</t>
  </si>
  <si>
    <t>Retirement account</t>
  </si>
  <si>
    <t>FOOD</t>
  </si>
  <si>
    <t>Investment account</t>
  </si>
  <si>
    <t>Groceries</t>
  </si>
  <si>
    <t>Dining out</t>
  </si>
  <si>
    <t>GIFTS AND DONATIONS</t>
  </si>
  <si>
    <t>Charity 1</t>
  </si>
  <si>
    <t>PETS</t>
  </si>
  <si>
    <t>Charity 2</t>
  </si>
  <si>
    <t>Food</t>
  </si>
  <si>
    <t>Charity 3</t>
  </si>
  <si>
    <t>Medical</t>
  </si>
  <si>
    <t>Grooming</t>
  </si>
  <si>
    <t>Toys</t>
  </si>
  <si>
    <t>LEGAL</t>
  </si>
  <si>
    <t>Attorney</t>
  </si>
  <si>
    <t>Alimony</t>
  </si>
  <si>
    <t>Payments on lien or judgment</t>
  </si>
  <si>
    <t>PERSONAL CARE</t>
  </si>
  <si>
    <t>Hair/nails</t>
  </si>
  <si>
    <t>Clothing</t>
  </si>
  <si>
    <t>Dry cleaning</t>
  </si>
  <si>
    <t>Health club</t>
  </si>
  <si>
    <t>Organization dues or fees</t>
  </si>
  <si>
    <t>Subtotal</t>
  </si>
  <si>
    <t>Use this Personal Monthly Budget worksheet to track your Projected and Actual Monthly Income and Projected and Actual Cost.</t>
  </si>
  <si>
    <t>Enter expenses incurred on various categories in respective tables.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</si>
  <si>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</si>
  <si>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</si>
  <si>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</si>
  <si>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Create a Personal Monthly Budget in this worksheet. Helpful instructions on how to use this worksheet are in cells in this column. Arrow down to get started.</t>
  </si>
  <si>
    <t>Projected Balance, Actual Balance, and Difference are auto calculated.</t>
  </si>
  <si>
    <t>About this Template</t>
  </si>
  <si>
    <t>Projected Monthly Income</t>
  </si>
  <si>
    <t>Actual Monthly Income</t>
  </si>
  <si>
    <t>Projected Balance
(Projected income minus expenses)</t>
  </si>
  <si>
    <t>Actual Balance
(Actual income minus expenses)</t>
  </si>
  <si>
    <t>Difference
(Actual minus projected)</t>
  </si>
  <si>
    <t>Title of this worksheet is in cell at right. Next instruction is in cell A5.</t>
  </si>
  <si>
    <t>Total Projected Cost</t>
  </si>
  <si>
    <t>Total Actual Cost</t>
  </si>
  <si>
    <t>Total Difference</t>
  </si>
  <si>
    <t>Actual Monthly Income label is in cell at right. Enter Income 1 in cell C10 and Extra Income in C11 to calculate Total monthly income in C12. Next instruction is in cell A14.</t>
  </si>
  <si>
    <t>Enter details in Housing table starting in cell at right and in Entertainment table starting in cell G14. Next instruction is in cell A27.</t>
  </si>
  <si>
    <t>Enter details in Transportation table starting in cell at right and in Loans table starting in cell G26. Next instruction is in cell A37.</t>
  </si>
  <si>
    <t>Enter details in Food table starting in cell at right and in Savings table starting in cell G42. Next instruction is in cell A50.</t>
  </si>
  <si>
    <t>Enter details in Pets table starting in cell at right and in Gifts table starting in cell G48. Next instruction is in cell A58.</t>
  </si>
  <si>
    <t>Enter details in Personal Care table starting in cell at right and in Legal table starting in cell G54. Next instruction is in cell A61.</t>
  </si>
  <si>
    <t>Total Projected Cost is auto calculated in cell J61, Total Actual Cost in J63, and Total Difference in J65.</t>
  </si>
  <si>
    <t>Projected Monthly Income label is in cell at right. Enter Income 1 in cell C5 and Extra Income in C6 to calculate Total monthly income in C7. Next instruction is in cell A7.</t>
  </si>
  <si>
    <t>Projected Balance is auto calculated in cell H4, Actual Balance in H6, and Difference in H8. Next instruction is in cell A9.</t>
  </si>
  <si>
    <t>Enter details in Insurance table starting in cell at right and in Taxes table starting in cell G35. Next instruction is in cell A44.</t>
  </si>
  <si>
    <t>PCI-Vacuume payment</t>
  </si>
  <si>
    <t>Balance</t>
  </si>
  <si>
    <t>Payment</t>
  </si>
  <si>
    <t>New Balance</t>
  </si>
  <si>
    <t>Warren's Loan</t>
  </si>
  <si>
    <t>Warren's Loan-13.75%</t>
  </si>
  <si>
    <t>Auto Loan-5.99%</t>
  </si>
  <si>
    <t>Personal-6.35%</t>
  </si>
  <si>
    <t>Student-Nelnet: 3.375%</t>
  </si>
  <si>
    <t>Storage Unit</t>
  </si>
  <si>
    <t>Supplies(TP, PT, soap)</t>
  </si>
  <si>
    <t>Social Security</t>
  </si>
  <si>
    <t>Medicare</t>
  </si>
  <si>
    <t>LOAN &amp; CREDIT  CARD
 BALANCES</t>
  </si>
  <si>
    <t>Oakleaf Clinic</t>
  </si>
  <si>
    <t>Menards</t>
  </si>
  <si>
    <t>Mercury</t>
  </si>
  <si>
    <t>Menards-26.46%</t>
  </si>
  <si>
    <t>Mercury-10.49%</t>
  </si>
  <si>
    <t>Credit card-Misc</t>
  </si>
  <si>
    <t>Torrid -28.49%</t>
  </si>
  <si>
    <t>Lane Bryant-28.49%</t>
  </si>
  <si>
    <t>Certified Recovery, INC</t>
  </si>
  <si>
    <t>Brian-6%</t>
  </si>
  <si>
    <t>HRA</t>
  </si>
  <si>
    <t>Savings 1</t>
  </si>
  <si>
    <t>Checking-WCU</t>
  </si>
  <si>
    <t>Assets- As of 3/31/20</t>
  </si>
  <si>
    <t>bank fees</t>
  </si>
  <si>
    <t>Millenium Trust-Closed</t>
  </si>
  <si>
    <t>_________'s Personal Monthly Budget-____/____</t>
  </si>
  <si>
    <t>Auto Loan-_____%</t>
  </si>
  <si>
    <t>Personal-____%</t>
  </si>
  <si>
    <t>Student-______%</t>
  </si>
  <si>
    <t>LOAN &amp; CREDIT  CARD
 BALANCES/Interest Rate</t>
  </si>
  <si>
    <t>Home Loan-_____%</t>
  </si>
  <si>
    <t>Other: __________, _____%</t>
  </si>
  <si>
    <t>Savings 2</t>
  </si>
  <si>
    <t>Checking 2</t>
  </si>
  <si>
    <t>Checking 1</t>
  </si>
  <si>
    <t>IRA</t>
  </si>
  <si>
    <t xml:space="preserve">Other: </t>
  </si>
  <si>
    <t>Other: ____________</t>
  </si>
  <si>
    <t xml:space="preserve"> free consultation. 715-672-8093.</t>
  </si>
  <si>
    <t xml:space="preserve">Still struggling? Call today for your </t>
  </si>
  <si>
    <t xml:space="preserve">Notes: </t>
  </si>
  <si>
    <t>Assets- As of ______________</t>
  </si>
  <si>
    <t xml:space="preserve"> </t>
  </si>
  <si>
    <t>Mortgage or rent</t>
  </si>
  <si>
    <t xml:space="preserve">Mortgage or rent- $450 </t>
  </si>
  <si>
    <t>Checking-RCU</t>
  </si>
  <si>
    <t xml:space="preserve"> IRA</t>
  </si>
  <si>
    <t>Sam's Personal Monthly Budget-04/2020</t>
  </si>
  <si>
    <t>Extra income-Refund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</si>
</sst>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19" x14ac:knownFonts="1">
    <font>
      <sz val="10"/>
      <color theme="1" tint="0.24994659260841701"/>
      <name val="Lucida Sans"/>
      <family val="2"/>
      <scheme val="minor"/>
    </font>
    <font>
      <sz val="11"/>
      <color theme="1"/>
      <name val="Lucida Sans"/>
      <family val="2"/>
      <scheme val="minor"/>
    </font>
    <font>
      <sz val="10"/>
      <color theme="1" tint="0.24994659260841701"/>
      <name val="Rockwell"/>
      <family val="2"/>
      <scheme val="major"/>
    </font>
    <font>
      <b/>
      <sz val="10"/>
      <color theme="1" tint="0.24994659260841701"/>
      <name val="Rockwell"/>
      <family val="2"/>
      <scheme val="major"/>
    </font>
    <font>
      <sz val="22"/>
      <color theme="3" tint="0.24994659260841701"/>
      <name val="Rockwell"/>
      <family val="2"/>
      <scheme val="major"/>
    </font>
    <font>
      <sz val="11"/>
      <color theme="0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b/>
      <sz val="11"/>
      <color theme="1" tint="0.24994659260841701"/>
      <name val="Lucida Sans"/>
      <family val="2"/>
      <scheme val="minor"/>
    </font>
    <font>
      <sz val="10"/>
      <color theme="0"/>
      <name val="Lucida Sans"/>
      <family val="2"/>
      <scheme val="minor"/>
    </font>
    <font>
      <sz val="16"/>
      <color theme="5" tint="-0.499984740745262"/>
      <name val="Rockwell"/>
      <family val="1"/>
      <scheme val="major"/>
    </font>
    <font>
      <sz val="12"/>
      <name val="Lucida Sans"/>
      <family val="2"/>
      <charset val="238"/>
      <scheme val="minor"/>
    </font>
    <font>
      <sz val="11"/>
      <color theme="4" tint="-0.499984740745262"/>
      <name val="Lucida Sans"/>
      <family val="2"/>
      <scheme val="minor"/>
    </font>
    <font>
      <sz val="14"/>
      <color theme="0"/>
      <name val="Rockwell"/>
      <family val="1"/>
      <scheme val="major"/>
    </font>
    <font>
      <b/>
      <sz val="12"/>
      <name val="Lucida Sans"/>
      <family val="2"/>
      <charset val="238"/>
      <scheme val="minor"/>
    </font>
    <font>
      <sz val="36"/>
      <color theme="5" tint="-0.499984740745262"/>
      <name val="Rockwell"/>
      <family val="2"/>
      <scheme val="major"/>
    </font>
    <font>
      <sz val="12"/>
      <color theme="1" tint="0.24994659260841701"/>
      <name val="Lucida Sans"/>
      <family val="2"/>
      <scheme val="minor"/>
    </font>
    <font>
      <sz val="12"/>
      <color theme="1" tint="0.24994659260841701"/>
      <name val="Rockwell"/>
      <family val="1"/>
      <scheme val="major"/>
    </font>
    <font>
      <b/>
      <sz val="12"/>
      <color theme="1" tint="0.24994659260841701"/>
      <name val="Lucida Sans"/>
      <family val="2"/>
      <charset val="238"/>
      <scheme val="minor"/>
    </font>
    <font>
      <sz val="11"/>
      <color theme="1" tint="0.24994659260841701"/>
      <name val="Rockwel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11" fillId="0" borderId="0" applyFont="0" applyFill="0" applyBorder="0" applyAlignment="0" applyProtection="0"/>
    <xf numFmtId="14" fontId="1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3" borderId="0" xfId="2" applyFont="1" applyFill="1" applyBorder="1" applyAlignment="1">
      <alignment horizontal="center" vertical="center"/>
    </xf>
    <xf numFmtId="0" fontId="2" fillId="0" borderId="0" xfId="2" applyBorder="1" applyAlignment="1">
      <alignment vertical="center" wrapText="1"/>
    </xf>
    <xf numFmtId="0" fontId="2" fillId="0" borderId="0" xfId="2" applyBorder="1" applyAlignment="1">
      <alignment vertical="center"/>
    </xf>
    <xf numFmtId="0" fontId="2" fillId="0" borderId="0" xfId="2" applyBorder="1" applyAlignment="1">
      <alignment horizontal="left" vertical="center"/>
    </xf>
    <xf numFmtId="8" fontId="3" fillId="0" borderId="0" xfId="0" applyNumberFormat="1" applyFont="1" applyAlignment="1">
      <alignment vertical="center"/>
    </xf>
    <xf numFmtId="0" fontId="10" fillId="2" borderId="4" xfId="2" applyFont="1" applyFill="1" applyBorder="1" applyAlignment="1">
      <alignment vertical="center"/>
    </xf>
    <xf numFmtId="8" fontId="10" fillId="2" borderId="6" xfId="0" applyNumberFormat="1" applyFont="1" applyFill="1" applyBorder="1" applyAlignment="1">
      <alignment vertical="center"/>
    </xf>
    <xf numFmtId="8" fontId="13" fillId="5" borderId="6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164" fontId="15" fillId="0" borderId="8" xfId="0" applyNumberFormat="1" applyFont="1" applyBorder="1" applyAlignment="1">
      <alignment vertical="center"/>
    </xf>
    <xf numFmtId="8" fontId="13" fillId="7" borderId="6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6" borderId="6" xfId="2" applyFont="1" applyFill="1" applyBorder="1" applyAlignment="1">
      <alignment horizontal="left" vertical="center" wrapText="1" indent="1"/>
    </xf>
    <xf numFmtId="0" fontId="14" fillId="3" borderId="0" xfId="1" applyFont="1" applyFill="1" applyBorder="1" applyAlignment="1">
      <alignment horizontal="center" vertical="center"/>
    </xf>
    <xf numFmtId="0" fontId="12" fillId="4" borderId="4" xfId="3" applyFont="1" applyFill="1" applyBorder="1" applyAlignment="1">
      <alignment vertical="center"/>
    </xf>
    <xf numFmtId="0" fontId="12" fillId="4" borderId="7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0" fontId="10" fillId="6" borderId="10" xfId="2" applyFont="1" applyFill="1" applyBorder="1" applyAlignment="1">
      <alignment horizontal="left" vertical="center" wrapText="1" indent="1"/>
    </xf>
    <xf numFmtId="8" fontId="13" fillId="7" borderId="10" xfId="0" applyNumberFormat="1" applyFont="1" applyFill="1" applyBorder="1" applyAlignment="1">
      <alignment horizontal="right" vertical="center" indent="1"/>
    </xf>
    <xf numFmtId="0" fontId="18" fillId="0" borderId="9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9" xfId="2" applyFont="1" applyBorder="1" applyAlignment="1">
      <alignment horizontal="center" vertical="top"/>
    </xf>
    <xf numFmtId="0" fontId="18" fillId="0" borderId="0" xfId="2" applyFont="1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0" borderId="11" xfId="2" applyBorder="1" applyAlignment="1">
      <alignment horizontal="center" vertical="center"/>
    </xf>
    <xf numFmtId="0" fontId="2" fillId="0" borderId="12" xfId="2" applyBorder="1" applyAlignment="1">
      <alignment horizontal="center" vertical="center"/>
    </xf>
    <xf numFmtId="0" fontId="2" fillId="0" borderId="13" xfId="2" applyBorder="1" applyAlignment="1">
      <alignment horizontal="center" vertical="center"/>
    </xf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3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rgb="FF404040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Lucida Sans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  <name val="Lucida Sans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</font>
    </dxf>
    <dxf>
      <font>
        <strike val="0"/>
        <outline val="0"/>
        <shadow val="0"/>
        <u val="none"/>
        <vertAlign val="baseline"/>
        <sz val="12"/>
        <color theme="1" tint="0.24994659260841701"/>
        <name val="Rockwell"/>
        <family val="1"/>
        <scheme val="major"/>
      </font>
      <alignment horizontal="general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Light9" defaultPivotStyle="PivotStyleLight16">
    <tableStyle name="Address Book" pivot="0" count="5" xr9:uid="{00000000-0011-0000-FFFF-FFFF00000000}">
      <tableStyleElement type="wholeTable" dxfId="319"/>
      <tableStyleElement type="headerRow" dxfId="318"/>
      <tableStyleElement type="totalRow" dxfId="317"/>
      <tableStyleElement type="firstRowStripe" dxfId="316"/>
      <tableStyleElement type="secondRowStripe" dxfId="315"/>
    </tableStyle>
    <tableStyle name="Personal monthly budget" pivot="0" count="7" xr9:uid="{DF2684C2-C435-47FA-9646-E632C3AE8948}">
      <tableStyleElement type="wholeTable" dxfId="314"/>
      <tableStyleElement type="headerRow" dxfId="313"/>
      <tableStyleElement type="totalRow" dxfId="312"/>
      <tableStyleElement type="firstColumn" dxfId="311"/>
      <tableStyleElement type="lastColumn" dxfId="310"/>
      <tableStyleElement type="firstRowStripe" dxfId="309"/>
      <tableStyleElement type="firstColumnStripe" dxfId="30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179397</xdr:colOff>
      <xdr:row>1</xdr:row>
      <xdr:rowOff>154781</xdr:rowOff>
    </xdr:from>
    <xdr:to>
      <xdr:col>1</xdr:col>
      <xdr:colOff>934305</xdr:colOff>
      <xdr:row>2</xdr:row>
      <xdr:rowOff>0</xdr:rowOff>
    </xdr:to>
    <xdr:pic>
      <xdr:nvPicPr>
        <xdr:cNvPr id="2" name="Picture 1" descr="Decorative Element&#10;">
          <a:extLst>
            <a:ext uri="{FF2B5EF4-FFF2-40B4-BE49-F238E27FC236}">
              <a16:creationId xmlns:a16="http://schemas.microsoft.com/office/drawing/2014/main" id="{4766C989-0398-4EF2-AE72-0FCA1C9EA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03" y="333375"/>
          <a:ext cx="754908" cy="7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179397</xdr:colOff>
      <xdr:row>1</xdr:row>
      <xdr:rowOff>154781</xdr:rowOff>
    </xdr:from>
    <xdr:to>
      <xdr:col>1</xdr:col>
      <xdr:colOff>934305</xdr:colOff>
      <xdr:row>2</xdr:row>
      <xdr:rowOff>0</xdr:rowOff>
    </xdr:to>
    <xdr:pic>
      <xdr:nvPicPr>
        <xdr:cNvPr id="2" name="Picture 1" descr="Decorative Element&#10;">
          <a:extLst>
            <a:ext uri="{FF2B5EF4-FFF2-40B4-BE49-F238E27FC236}">
              <a16:creationId xmlns:a16="http://schemas.microsoft.com/office/drawing/2014/main" id="{616CEA8B-7B82-4522-846A-2A3B91AA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422" y="335756"/>
          <a:ext cx="754908" cy="75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38100</xdr:colOff>
      <xdr:row>3</xdr:row>
      <xdr:rowOff>47626</xdr:rowOff>
    </xdr:from>
    <xdr:to>
      <xdr:col>10</xdr:col>
      <xdr:colOff>19960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898B97-ADE3-30A6-A8BA-9DFCCE0E0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3125" y="1295401"/>
          <a:ext cx="2391685" cy="12572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4:E25" totalsRowCount="1" headerRowDxfId="307" dataDxfId="306" totalsRowDxfId="305">
  <autoFilter ref="B14:E24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HOUSING" totalsRowLabel="Subtotal" dataDxfId="304" totalsRowDxfId="7"/>
    <tableColumn id="2" xr3:uid="{00000000-0010-0000-0000-000002000000}" name="Projected Cost" totalsRowFunction="sum" dataDxfId="303" totalsRowDxfId="6"/>
    <tableColumn id="3" xr3:uid="{00000000-0010-0000-0000-000003000000}" name="Actual Cost" totalsRowFunction="sum" dataDxfId="302" totalsRowDxfId="5"/>
    <tableColumn id="4" xr3:uid="{00000000-0010-0000-0000-000004000000}" name="Difference" totalsRowFunction="sum" dataDxfId="301" totalsRowDxfId="4">
      <calculatedColumnFormula>Housing[[#This Row],[Projected Cost]]-Housing[[#This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Pets" displayName="Pets" ref="B50:E56" totalsRowCount="1" headerRowDxfId="212" dataDxfId="211" totalsRowDxfId="210">
  <autoFilter ref="B50:E55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900-000001000000}" name="PETS" totalsRowLabel="Subtotal" dataDxfId="209" totalsRowDxfId="208"/>
    <tableColumn id="2" xr3:uid="{00000000-0010-0000-0900-000002000000}" name="Projected Cost" totalsRowFunction="sum" dataDxfId="207" totalsRowDxfId="206"/>
    <tableColumn id="3" xr3:uid="{00000000-0010-0000-0900-000003000000}" name="Actual Cost" totalsRowFunction="sum" dataDxfId="205" totalsRowDxfId="204"/>
    <tableColumn id="4" xr3:uid="{00000000-0010-0000-0900-000004000000}" name="Difference" totalsRowFunction="sum" dataDxfId="203" totalsRowDxfId="202">
      <calculatedColumnFormula>Pets[[#This Row],[Projected Cost]]-Pets[[#This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Legal" displayName="Legal" ref="G54:J59" totalsRowCount="1" headerRowDxfId="201" dataDxfId="200" totalsRowDxfId="199">
  <autoFilter ref="G54:J58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A00-000001000000}" name="LEGAL" totalsRowLabel="Subtotal" dataDxfId="198" totalsRowDxfId="197"/>
    <tableColumn id="2" xr3:uid="{00000000-0010-0000-0A00-000002000000}" name="Projected Cost" totalsRowFunction="sum" dataDxfId="196" totalsRowDxfId="195"/>
    <tableColumn id="3" xr3:uid="{00000000-0010-0000-0A00-000003000000}" name="Actual Cost" totalsRowFunction="sum" dataDxfId="194" totalsRowDxfId="193"/>
    <tableColumn id="4" xr3:uid="{00000000-0010-0000-0A00-000004000000}" name="Difference" totalsRowFunction="sum" dataDxfId="192" totalsRowDxfId="191">
      <calculatedColumnFormula>Legal[[#This Row],[Projected Cost]]-Legal[[#This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PersonalCare" displayName="PersonalCare" ref="B58:E66" totalsRowCount="1" headerRowDxfId="190" dataDxfId="189" totalsRowDxfId="188">
  <autoFilter ref="B58:E65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PERSONAL CARE" totalsRowLabel="Subtotal" dataDxfId="187" totalsRowDxfId="186"/>
    <tableColumn id="2" xr3:uid="{00000000-0010-0000-0B00-000002000000}" name="Projected Cost" totalsRowFunction="sum" dataDxfId="185" totalsRowDxfId="184"/>
    <tableColumn id="3" xr3:uid="{00000000-0010-0000-0B00-000003000000}" name="Actual Cost" totalsRowFunction="sum" dataDxfId="183" totalsRowDxfId="182"/>
    <tableColumn id="4" xr3:uid="{00000000-0010-0000-0B00-000004000000}" name="Difference" totalsRowFunction="sum" dataDxfId="181" totalsRowDxfId="180">
      <calculatedColumnFormula>PersonalCare[[#This Row],[Projected Cost]]-PersonalCare[[#This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5850114-EF79-43EE-B799-6550DF608296}" name="Loans16" displayName="Loans16" ref="B70:E84" totalsRowCount="1" headerRowDxfId="179" dataDxfId="178" totalsRowDxfId="177">
  <autoFilter ref="B70:E83" xr:uid="{2D52D70E-186F-41B6-84CE-54EEC6ED9700}"/>
  <tableColumns count="4">
    <tableColumn id="1" xr3:uid="{D7643F6A-EFC8-41D0-B7A7-09E13DEF186B}" name="LOAN &amp; CREDIT  CARD_x000a_ BALANCES" totalsRowLabel="Subtotal" dataDxfId="176" totalsRowDxfId="175"/>
    <tableColumn id="2" xr3:uid="{2552A8A5-5B7E-4318-849E-F58DDBF48CE8}" name="Balance" totalsRowFunction="sum" dataDxfId="174" totalsRowDxfId="173"/>
    <tableColumn id="3" xr3:uid="{8F007296-5D80-464D-ABF1-A39ADFC8C41C}" name="Payment" totalsRowFunction="sum" dataDxfId="172" totalsRowDxfId="171"/>
    <tableColumn id="4" xr3:uid="{1648C971-EC00-46AD-BC12-D86C1F703332}" name="New Balance" totalsRowFunction="sum" dataDxfId="170" totalsRowDxfId="169">
      <calculatedColumnFormula>Loans16[[#This Row],[Balance]]-Loans16[[#This Row],[Payment]]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F3BF8E0-1F14-4276-B00E-10A04409AD11}" name="Loans1618" displayName="Loans1618" ref="G70:J84" totalsRowCount="1" headerRowDxfId="168" dataDxfId="167" totalsRowDxfId="166">
  <autoFilter ref="G70:J83" xr:uid="{F0E12D21-3BD0-4847-854F-A23A3EFC83E9}"/>
  <tableColumns count="4">
    <tableColumn id="1" xr3:uid="{0546EF5E-84F5-4D22-99E7-69E114854391}" name="Assets- As of 3/31/20" totalsRowLabel="Subtotal" dataDxfId="165" totalsRowDxfId="3"/>
    <tableColumn id="2" xr3:uid="{84FE9F3A-B84B-42B6-8B79-4808D9358B26}" name="Balance" totalsRowFunction="sum" dataDxfId="164" totalsRowDxfId="2"/>
    <tableColumn id="3" xr3:uid="{0E7D21E9-862C-4B20-86CE-B120ABBC7D70}" name="Payment" totalsRowFunction="sum" dataDxfId="163" totalsRowDxfId="1"/>
    <tableColumn id="4" xr3:uid="{9D47D7E5-8CD2-4A14-8B75-C56CEAF54F6A}" name="New Balance" totalsRowFunction="sum" dataDxfId="162" totalsRowDxfId="0">
      <calculatedColumnFormula>Loans1618[[#This Row],[Balance]]+Loans1618[[#This Row],[Payment]]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C9EF7ED-9B43-4705-80C9-648D01E81F80}" name="Housing14" displayName="Housing14" ref="B14:E26" totalsRowCount="1" headerRowDxfId="161" dataDxfId="160" totalsRowDxfId="159">
  <autoFilter ref="B14:E25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395F7AE2-47E6-4DD7-A25A-B2FAFEA778C7}" name="HOUSING" totalsRowLabel="Subtotal" dataDxfId="158" totalsRowDxfId="157"/>
    <tableColumn id="2" xr3:uid="{F73A01A2-1C97-40D5-8EAD-635B074B0980}" name="Projected Cost" dataDxfId="156" totalsRowDxfId="155"/>
    <tableColumn id="3" xr3:uid="{86D5189B-F15F-45DD-8D6F-A8EB90167658}" name="Actual Cost" dataDxfId="154" totalsRowDxfId="153"/>
    <tableColumn id="4" xr3:uid="{212AB558-DA23-4860-B658-64CF284FCCE7}" name="Difference" dataDxfId="152" totalsRowDxfId="151">
      <calculatedColumnFormula>Housing14[[#This Row],[Projected Cost]]-Housing14[[#This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2ACBBC-7D94-4726-9CDB-BD3F4114A31E}" name="Entertainment15" displayName="Entertainment15" ref="G14:J24" totalsRowCount="1" headerRowDxfId="150" dataDxfId="149" totalsRowDxfId="148" headerRowCellStyle="Normal">
  <autoFilter ref="G14:J2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120F6433-2137-4E87-ACC9-837CF0477A66}" name="ENTERTAINMENT" totalsRowLabel="Subtotal" dataDxfId="147" totalsRowDxfId="146"/>
    <tableColumn id="2" xr3:uid="{5207E448-DA21-4A82-8A67-3C7844EFB7AB}" name="Projected Cost" dataDxfId="145" totalsRowDxfId="144"/>
    <tableColumn id="3" xr3:uid="{82E028F2-280F-4B78-8871-623AC4ED26E5}" name="Actual Cost" dataDxfId="143" totalsRowDxfId="142"/>
    <tableColumn id="4" xr3:uid="{A05E0651-8EAA-4775-BB3D-E73E88314339}" name="Difference" dataDxfId="141" totalsRowDxfId="140">
      <calculatedColumnFormula>Entertainment15[[#This Row],[Projected Cost]]-Entertainment15[[#This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3133F23-370A-4972-B83E-BB69FC972AF0}" name="Loans17" displayName="Loans17" ref="G26:J34" totalsRowCount="1" headerRowDxfId="139" dataDxfId="138" totalsRowDxfId="137">
  <autoFilter ref="G26:J33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4F75B8C2-6F43-4D9F-B983-7D81CBA5D990}" name="LOANS" totalsRowLabel="Subtotal" dataDxfId="136" totalsRowDxfId="135"/>
    <tableColumn id="2" xr3:uid="{735DC92F-D749-4DB2-AFFE-89F425360676}" name="Projected Cost" dataDxfId="134" totalsRowDxfId="133"/>
    <tableColumn id="3" xr3:uid="{EBAF887B-C55F-47A4-88AC-6CDD6F28E1B5}" name="Actual Cost" dataDxfId="132" totalsRowDxfId="131"/>
    <tableColumn id="4" xr3:uid="{44D9E690-2A50-4FC0-95E3-52174F0EC67D}" name="Difference" dataDxfId="130" totalsRowDxfId="129">
      <calculatedColumnFormula>Loans17[[#This Row],[Projected Cost]]-Loans17[[#This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3449E11-14B4-47EE-A4B6-8F0E923FA44B}" name="Transportation19" displayName="Transportation19" ref="B28:E36" totalsRowCount="1" headerRowDxfId="128" dataDxfId="127" totalsRowDxfId="126">
  <autoFilter ref="B28:E35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2669372-6C4E-47A3-BDFC-F08759808068}" name="TRANSPORTATION" totalsRowLabel="Subtotal" dataDxfId="125" totalsRowDxfId="124"/>
    <tableColumn id="2" xr3:uid="{EE7FF8DC-0DB2-4E5A-9794-3E25A0AC67EA}" name="Projected Cost" dataDxfId="123" totalsRowDxfId="122"/>
    <tableColumn id="3" xr3:uid="{9C5A26A8-83D5-4401-AEF9-9C4343A45A02}" name="Actual Cost" dataDxfId="121" totalsRowDxfId="120"/>
    <tableColumn id="4" xr3:uid="{E2729016-D1CE-47A4-B69C-B9794EEBAAD2}" name="Difference" dataDxfId="119" totalsRowDxfId="118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B2628CE-6D7A-4B6C-942D-F780228A49CD}" name="Insurance20" displayName="Insurance20" ref="B38:E43" totalsRowCount="1" headerRowDxfId="117" dataDxfId="116" totalsRowDxfId="115">
  <autoFilter ref="B38:E42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B67588AC-7D32-40FF-B0A0-036A7D8C5F97}" name="INSURANCE" totalsRowLabel="Subtotal" dataDxfId="114" totalsRowDxfId="113"/>
    <tableColumn id="2" xr3:uid="{48CDC6C2-F67F-44A4-9CB0-B2F09BB12F8C}" name="Projected Cost" dataDxfId="112" totalsRowDxfId="111"/>
    <tableColumn id="3" xr3:uid="{2C4F25B5-48A1-4BFE-BC41-01F11D03CE17}" name="Actual Cost" dataDxfId="110" totalsRowDxfId="109"/>
    <tableColumn id="4" xr3:uid="{9027385A-93BF-47BC-8816-22661EA38D50}" name="Difference" dataDxfId="108" totalsRowDxfId="107">
      <calculatedColumnFormula>Insurance20[[#This Row],[Projected Cost]]-Insurance20[[#This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4:J24" totalsRowCount="1" headerRowDxfId="300" dataDxfId="299" totalsRowDxfId="298" headerRowCellStyle="Normal">
  <autoFilter ref="G14:J23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ENTERTAINMENT" totalsRowLabel="Subtotal" dataDxfId="297" totalsRowDxfId="296"/>
    <tableColumn id="2" xr3:uid="{00000000-0010-0000-0100-000002000000}" name="Projected Cost" totalsRowFunction="sum" dataDxfId="295" totalsRowDxfId="294"/>
    <tableColumn id="3" xr3:uid="{00000000-0010-0000-0100-000003000000}" name="Actual Cost" totalsRowFunction="sum" dataDxfId="293" totalsRowDxfId="292"/>
    <tableColumn id="4" xr3:uid="{00000000-0010-0000-0100-000004000000}" name="Difference" totalsRowFunction="sum" dataDxfId="291" totalsRowDxfId="290">
      <calculatedColumnFormula>Entertainment[[#This Row],[Projected Cost]]-Entertainment[[#This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6620A91-CBC9-49A7-B35D-DCE953812F7B}" name="Taxes21" displayName="Taxes21" ref="G36:J41" totalsRowCount="1" headerRowDxfId="106" dataDxfId="105" totalsRowDxfId="104">
  <autoFilter ref="G36:J40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4FE05F85-11C3-4DF5-9731-65A5D0137300}" name="TAXES" totalsRowLabel="Subtotal" dataDxfId="103" totalsRowDxfId="102"/>
    <tableColumn id="2" xr3:uid="{75A3D4A9-3CC6-4FE2-9708-ACCDE6DFDFF3}" name="Projected Cost" dataDxfId="101" totalsRowDxfId="100">
      <calculatedColumnFormula>70.51*2</calculatedColumnFormula>
    </tableColumn>
    <tableColumn id="3" xr3:uid="{9B44DDB1-4A91-4138-BF7C-F20F980718B5}" name="Actual Cost" dataDxfId="99" totalsRowDxfId="98"/>
    <tableColumn id="4" xr3:uid="{F696AEE7-5541-4AED-B9A5-AB91F3BEE6DD}" name="Difference" dataDxfId="97" totalsRowDxfId="96">
      <calculatedColumnFormula>Taxes21[[#This Row],[Projected Cost]]-Taxes21[[#This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A1E6833-68E7-43F8-A492-4D6085973EC0}" name="Savings22" displayName="Savings22" ref="G43:J47" totalsRowCount="1" headerRowDxfId="95" dataDxfId="94" totalsRowDxfId="93">
  <autoFilter ref="G43:J46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8827FF45-3F7E-4F67-9CDA-E9EB7B805DCD}" name="SAVINGS OR INVESTMENTS" totalsRowLabel="Subtotal" dataDxfId="92" totalsRowDxfId="91"/>
    <tableColumn id="2" xr3:uid="{E2838E55-CF48-42B4-BC2E-ED797E93FD74}" name="Projected Cost" dataDxfId="90" totalsRowDxfId="89"/>
    <tableColumn id="3" xr3:uid="{62A535A5-A17C-4512-AB44-7B8F7F3B1340}" name="Actual Cost" dataDxfId="88" totalsRowDxfId="87"/>
    <tableColumn id="4" xr3:uid="{4F13DAB8-32B1-43D4-9E4D-AC5451150512}" name="Difference" dataDxfId="86" totalsRowDxfId="85">
      <calculatedColumnFormula>Savings22[[#This Row],[Projected Cost]]-Savings22[[#This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C2B12BF-FBDA-493D-B623-F794C6756A15}" name="Food23" displayName="Food23" ref="B45:E49" totalsRowCount="1" headerRowDxfId="84" dataDxfId="83" totalsRowDxfId="82">
  <autoFilter ref="B45:E48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3146ED2-C167-4840-9CE0-F48A85B639CD}" name="FOOD" totalsRowLabel="Subtotal" dataDxfId="81" totalsRowDxfId="80"/>
    <tableColumn id="2" xr3:uid="{13F432D7-CE7F-482F-AFF2-CD13119BC8E7}" name="Projected Cost" dataDxfId="79" totalsRowDxfId="78"/>
    <tableColumn id="3" xr3:uid="{5972C535-A742-4087-B7AF-E6328B17203B}" name="Actual Cost" dataDxfId="77" totalsRowDxfId="76"/>
    <tableColumn id="4" xr3:uid="{8A9B7DFE-747E-49A8-B264-F3BDBA78E24B}" name="Difference" dataDxfId="75" totalsRowDxfId="74">
      <calculatedColumnFormula>Food23[[#This Row],[Projected Cost]]-Food23[[#This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A10383F-1CD2-4E14-AF29-4371707E7643}" name="Gifts24" displayName="Gifts24" ref="G49:J53" totalsRowCount="1" headerRowDxfId="73" dataDxfId="72" totalsRowDxfId="71">
  <autoFilter ref="G49:J52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7C7CBFD7-D8E9-48DB-AE22-3A13B1FD7BB0}" name="GIFTS AND DONATIONS" totalsRowLabel="Subtotal" dataDxfId="70" totalsRowDxfId="69"/>
    <tableColumn id="2" xr3:uid="{0C925A30-30BF-420B-9D01-C2DDFEC033FE}" name="Projected Cost" dataDxfId="68" totalsRowDxfId="67"/>
    <tableColumn id="3" xr3:uid="{B2067CB1-67E2-44CA-B9B0-49D5064AEA5A}" name="Actual Cost" dataDxfId="66" totalsRowDxfId="65"/>
    <tableColumn id="4" xr3:uid="{2A39326F-D176-48CD-BC79-A33E7734F8FD}" name="Difference" dataDxfId="64" totalsRowDxfId="63">
      <calculatedColumnFormula>Gifts24[[#This Row],[Projected Cost]]-Gifts24[[#This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EC5AD2F-E4A2-4211-AC56-058A441B6FC3}" name="Pets25" displayName="Pets25" ref="B51:E57" totalsRowCount="1" headerRowDxfId="62" dataDxfId="61" totalsRowDxfId="60">
  <autoFilter ref="B51:E56" xr:uid="{00000000-0009-0000-0100-00000A000000}">
    <filterColumn colId="0" hiddenButton="1"/>
    <filterColumn colId="1" hiddenButton="1"/>
    <filterColumn colId="2" hiddenButton="1"/>
    <filterColumn colId="3" hiddenButton="1"/>
  </autoFilter>
  <tableColumns count="4">
    <tableColumn id="1" xr3:uid="{9D7F0E2B-A808-4F8D-8008-0E04C7B98FCD}" name="PETS" totalsRowLabel="Subtotal" dataDxfId="59" totalsRowDxfId="58"/>
    <tableColumn id="2" xr3:uid="{0F60F9B9-AF79-40A6-AFB4-1D39A0841FD0}" name="Projected Cost" dataDxfId="57" totalsRowDxfId="56"/>
    <tableColumn id="3" xr3:uid="{E59C1444-1FE1-492E-BC4B-CFD4E85BE8EF}" name="Actual Cost" dataDxfId="55" totalsRowDxfId="54"/>
    <tableColumn id="4" xr3:uid="{84BCE2CD-74BF-4C8D-85A1-F2CEDED8F74C}" name="Difference" dataDxfId="53" totalsRowDxfId="52">
      <calculatedColumnFormula>Pets25[[#This Row],[Projected Cost]]-Pets25[[#This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ts Costs in this table. Difference is auto calculated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46B7674-7FB0-4765-B663-378E860A0AE6}" name="Legal26" displayName="Legal26" ref="G55:J60" totalsRowCount="1" headerRowDxfId="51" dataDxfId="50" totalsRowDxfId="49">
  <autoFilter ref="G55:J59" xr:uid="{00000000-0009-0000-0100-00000B000000}">
    <filterColumn colId="0" hiddenButton="1"/>
    <filterColumn colId="1" hiddenButton="1"/>
    <filterColumn colId="2" hiddenButton="1"/>
    <filterColumn colId="3" hiddenButton="1"/>
  </autoFilter>
  <tableColumns count="4">
    <tableColumn id="1" xr3:uid="{21D855D1-918A-4890-BF2D-5A603B79238B}" name="LEGAL" totalsRowLabel="Subtotal" dataDxfId="48" totalsRowDxfId="47"/>
    <tableColumn id="2" xr3:uid="{C856B15A-6BE0-405F-85E8-5E83969DDBE7}" name="Projected Cost" dataDxfId="46" totalsRowDxfId="45"/>
    <tableColumn id="3" xr3:uid="{345BDAFC-729E-484F-80C1-336BF4368246}" name="Actual Cost" dataDxfId="44" totalsRowDxfId="43"/>
    <tableColumn id="4" xr3:uid="{7380F4AB-364C-41F9-997E-87D231340EAE}" name="Difference" dataDxfId="42" totalsRowDxfId="41">
      <calculatedColumnFormula>Legal26[[#This Row],[Projected Cost]]-Legal26[[#This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egal Costs in this table. Difference is auto calculated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0C0409F-441E-45D7-9D40-A8741523E853}" name="Loans1628" displayName="Loans1628" ref="B71:E85" totalsRowCount="1" headerRowDxfId="40" dataDxfId="39" totalsRowDxfId="38">
  <autoFilter ref="B71:E84" xr:uid="{2D52D70E-186F-41B6-84CE-54EEC6ED9700}"/>
  <tableColumns count="4">
    <tableColumn id="1" xr3:uid="{9D5CCCD5-470B-4ECB-B0A7-634608D18AE2}" name="LOAN &amp; CREDIT  CARD_x000a_ BALANCES/Interest Rate" totalsRowLabel="Subtotal" dataDxfId="37" totalsRowDxfId="36"/>
    <tableColumn id="2" xr3:uid="{B4DED5F2-9B29-4B1C-ACC4-43FB9CDDCAC1}" name="Balance" totalsRowFunction="sum" dataDxfId="35" totalsRowDxfId="34"/>
    <tableColumn id="3" xr3:uid="{F2DB7138-26AE-42D7-8E1A-48FFE1E31442}" name="Payment" totalsRowFunction="sum" dataDxfId="33" totalsRowDxfId="32"/>
    <tableColumn id="4" xr3:uid="{5A6821BB-D41A-4245-BF91-30F59335BFBB}" name="New Balance" totalsRowFunction="sum" dataDxfId="31" totalsRowDxfId="30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20CE751-AFFE-4668-9E98-F28F3A924CA7}" name="PersonalCare27" displayName="PersonalCare27" ref="B59:E67" totalsRowCount="1" headerRowDxfId="29" dataDxfId="28" totalsRowDxfId="27">
  <autoFilter ref="B59:E66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B4A664D-35E0-4A27-BE91-F3E3C240D001}" name="PERSONAL CARE" totalsRowLabel="Subtotal" dataDxfId="26" totalsRowDxfId="25"/>
    <tableColumn id="2" xr3:uid="{85989275-687B-455A-80F8-38161E23C927}" name="Projected Cost" dataDxfId="24" totalsRowDxfId="23"/>
    <tableColumn id="3" xr3:uid="{13761052-E65B-419F-AF4F-0FE610CAB512}" name="Actual Cost" dataDxfId="22" totalsRowDxfId="21"/>
    <tableColumn id="4" xr3:uid="{BDCE70D0-30D5-419B-959D-A6F0D024DA32}" name="Difference" dataDxfId="20" totalsRowDxfId="19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Personal Care Costs in this table. Difference is auto calculated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4F5A712-64BB-4581-A669-3D07824E6958}" name="Loans161829" displayName="Loans161829" ref="G71:J85" totalsRowCount="1" headerRowDxfId="18" dataDxfId="17" totalsRowDxfId="16">
  <autoFilter ref="G71:J84" xr:uid="{F0E12D21-3BD0-4847-854F-A23A3EFC83E9}"/>
  <tableColumns count="4">
    <tableColumn id="1" xr3:uid="{60D34D6B-2FA1-409B-9190-47426B39DA5B}" name="Assets- As of ______________" totalsRowLabel="Subtotal" dataDxfId="15" totalsRowDxfId="14"/>
    <tableColumn id="2" xr3:uid="{E50F2133-5D27-450F-A658-CC50C41FF49A}" name="Balance" dataDxfId="13" totalsRowDxfId="12"/>
    <tableColumn id="3" xr3:uid="{71C10EE6-91B3-49AB-B7C4-D361824FE052}" name="Payment" dataDxfId="11" totalsRowDxfId="10"/>
    <tableColumn id="4" xr3:uid="{2B7711B9-AFCA-472A-A64F-3B4F4E4517FA}" name="New Balance" dataDxfId="9" totalsRowDxfId="8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Loans" displayName="Loans" ref="G26:J33" totalsRowCount="1" headerRowDxfId="289" dataDxfId="288" totalsRowDxfId="287">
  <autoFilter ref="G26:J32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LOANS" totalsRowLabel="Subtotal" dataDxfId="286" totalsRowDxfId="285"/>
    <tableColumn id="2" xr3:uid="{00000000-0010-0000-0200-000002000000}" name="Projected Cost" totalsRowFunction="sum" dataDxfId="284" totalsRowDxfId="283"/>
    <tableColumn id="3" xr3:uid="{00000000-0010-0000-0200-000003000000}" name="Actual Cost" totalsRowFunction="sum" dataDxfId="282" totalsRowDxfId="281"/>
    <tableColumn id="4" xr3:uid="{00000000-0010-0000-0200-000004000000}" name="Difference" totalsRowFunction="sum" dataDxfId="280" totalsRowDxfId="279">
      <calculatedColumnFormula>Loans[[#This Row],[Projected Cost]]-Loans[[#This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Loan Costs in this table. Difference is auto calculated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27:E35" totalsRowCount="1" headerRowDxfId="278" dataDxfId="277" totalsRowDxfId="276">
  <autoFilter ref="B27:E34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TRANSPORTATION" totalsRowLabel="Subtotal" dataDxfId="275" totalsRowDxfId="274"/>
    <tableColumn id="2" xr3:uid="{00000000-0010-0000-0300-000002000000}" name="Projected Cost" totalsRowFunction="sum" dataDxfId="273" totalsRowDxfId="272"/>
    <tableColumn id="3" xr3:uid="{00000000-0010-0000-0300-000003000000}" name="Actual Cost" totalsRowFunction="sum" dataDxfId="271" totalsRowDxfId="270"/>
    <tableColumn id="4" xr3:uid="{00000000-0010-0000-0300-000004000000}" name="Difference" totalsRowFunction="sum" dataDxfId="269" totalsRowDxfId="268">
      <calculatedColumnFormula>Transportation[[#This Row],[Projected Cost]]-Transportation[[#This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Insurance" displayName="Insurance" ref="B37:E42" totalsRowCount="1" headerRowDxfId="267" dataDxfId="266" totalsRowDxfId="265">
  <autoFilter ref="B37:E41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INSURANCE" totalsRowLabel="Subtotal" dataDxfId="264" totalsRowDxfId="263"/>
    <tableColumn id="2" xr3:uid="{00000000-0010-0000-0400-000002000000}" name="Projected Cost" totalsRowFunction="sum" dataDxfId="262" totalsRowDxfId="261"/>
    <tableColumn id="3" xr3:uid="{00000000-0010-0000-0400-000003000000}" name="Actual Cost" totalsRowFunction="sum" dataDxfId="260" totalsRowDxfId="259"/>
    <tableColumn id="4" xr3:uid="{00000000-0010-0000-0400-000004000000}" name="Difference" totalsRowFunction="sum" dataDxfId="258" totalsRowDxfId="257">
      <calculatedColumnFormula>Insurance[[#This Row],[Projected Cost]]-Insurance[[#This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Insurance Costs in this table. Difference is auto calculated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xes" displayName="Taxes" ref="G35:J40" totalsRowCount="1" headerRowDxfId="256" dataDxfId="255" totalsRowDxfId="254">
  <autoFilter ref="G35:J39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TAXES" totalsRowLabel="Subtotal" dataDxfId="253" totalsRowDxfId="252"/>
    <tableColumn id="2" xr3:uid="{00000000-0010-0000-0500-000002000000}" name="Projected Cost" totalsRowFunction="sum" dataDxfId="251" totalsRowDxfId="250">
      <calculatedColumnFormula>70.51*2</calculatedColumnFormula>
    </tableColumn>
    <tableColumn id="3" xr3:uid="{00000000-0010-0000-0500-000003000000}" name="Actual Cost" totalsRowFunction="sum" dataDxfId="249" totalsRowDxfId="248"/>
    <tableColumn id="4" xr3:uid="{00000000-0010-0000-0500-000004000000}" name="Difference" totalsRowFunction="sum" dataDxfId="247" totalsRowDxfId="246">
      <calculatedColumnFormula>Taxes[[#This Row],[Projected Cost]]-Taxes[[#This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axes Costs in this table. Difference is auto calculated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avings" displayName="Savings" ref="G42:J46" totalsRowCount="1" headerRowDxfId="245" dataDxfId="244" totalsRowDxfId="243">
  <autoFilter ref="G42:J45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SAVINGS OR INVESTMENTS" totalsRowLabel="Subtotal" dataDxfId="242" totalsRowDxfId="241"/>
    <tableColumn id="2" xr3:uid="{00000000-0010-0000-0600-000002000000}" name="Projected Cost" totalsRowFunction="sum" dataDxfId="240" totalsRowDxfId="239"/>
    <tableColumn id="3" xr3:uid="{00000000-0010-0000-0600-000003000000}" name="Actual Cost" totalsRowFunction="sum" dataDxfId="238" totalsRowDxfId="237"/>
    <tableColumn id="4" xr3:uid="{00000000-0010-0000-0600-000004000000}" name="Difference" totalsRowFunction="sum" dataDxfId="236" totalsRowDxfId="235">
      <calculatedColumnFormula>Savings[[#This Row],[Projected Cost]]-Savings[[#This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Savings or Investments in this table. Difference is auto calculated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Food" displayName="Food" ref="B44:E48" totalsRowCount="1" headerRowDxfId="234" dataDxfId="233" totalsRowDxfId="232">
  <autoFilter ref="B44:E47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FOOD" totalsRowLabel="Subtotal" dataDxfId="231" totalsRowDxfId="230"/>
    <tableColumn id="2" xr3:uid="{00000000-0010-0000-0700-000002000000}" name="Projected Cost" totalsRowFunction="sum" dataDxfId="229" totalsRowDxfId="228"/>
    <tableColumn id="3" xr3:uid="{00000000-0010-0000-0700-000003000000}" name="Actual Cost" totalsRowFunction="sum" dataDxfId="227" totalsRowDxfId="226"/>
    <tableColumn id="4" xr3:uid="{00000000-0010-0000-0700-000004000000}" name="Difference" totalsRowFunction="sum" dataDxfId="225" totalsRowDxfId="224">
      <calculatedColumnFormula>Food[[#This Row],[Projected Cost]]-Food[[#This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Food Costs in this table. Difference is auto calculated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Gifts" displayName="Gifts" ref="G48:J52" totalsRowCount="1" headerRowDxfId="223" dataDxfId="222" totalsRowDxfId="221">
  <autoFilter ref="G48:J51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GIFTS AND DONATIONS" totalsRowLabel="Subtotal" dataDxfId="220" totalsRowDxfId="219"/>
    <tableColumn id="2" xr3:uid="{00000000-0010-0000-0800-000002000000}" name="Projected Cost" totalsRowFunction="sum" dataDxfId="218" totalsRowDxfId="217"/>
    <tableColumn id="3" xr3:uid="{00000000-0010-0000-0800-000003000000}" name="Actual Cost" totalsRowFunction="sum" dataDxfId="216" totalsRowDxfId="215"/>
    <tableColumn id="4" xr3:uid="{00000000-0010-0000-0800-000004000000}" name="Difference" totalsRowFunction="sum" dataDxfId="214" totalsRowDxfId="213">
      <calculatedColumnFormula>Gifts[[#This Row],[Projected Cost]]-Gifts[[#This Row],[Actual Cost]]</calculatedColumnFormula>
    </tableColumn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Costs for Gifts and Donations in this table. Difference is auto calculated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drawing" Target="../drawings/drawing2.xml"/><Relationship Id="rId16" Type="http://schemas.openxmlformats.org/officeDocument/2006/relationships/table" Target="../tables/table2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5" Type="http://schemas.openxmlformats.org/officeDocument/2006/relationships/table" Target="../tables/table2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7"/>
  <sheetViews>
    <sheetView showGridLines="0" workbookViewId="0"/>
  </sheetViews>
  <sheetFormatPr defaultRowHeight="12.75" x14ac:dyDescent="0.2"/>
  <cols>
    <col min="1" max="1" width="2.375" customWidth="1"/>
    <col min="2" max="2" width="80.625" customWidth="1"/>
    <col min="3" max="3" width="2.625" customWidth="1"/>
  </cols>
  <sheetData>
    <row r="1" spans="2:2" s="6" customFormat="1" ht="30" customHeight="1" x14ac:dyDescent="0.2">
      <c r="B1" s="7" t="s">
        <v>71</v>
      </c>
    </row>
    <row r="2" spans="2:2" ht="48.6" customHeight="1" x14ac:dyDescent="0.2">
      <c r="B2" s="3" t="s">
        <v>64</v>
      </c>
    </row>
    <row r="3" spans="2:2" ht="34.35" customHeight="1" x14ac:dyDescent="0.2">
      <c r="B3" s="3" t="s">
        <v>65</v>
      </c>
    </row>
    <row r="4" spans="2:2" ht="33.75" customHeight="1" x14ac:dyDescent="0.2">
      <c r="B4" s="3" t="s">
        <v>70</v>
      </c>
    </row>
    <row r="5" spans="2:2" ht="34.35" customHeight="1" x14ac:dyDescent="0.2">
      <c r="B5" s="21" t="s">
        <v>66</v>
      </c>
    </row>
    <row r="6" spans="2:2" ht="57" x14ac:dyDescent="0.2">
      <c r="B6" s="3" t="s">
        <v>67</v>
      </c>
    </row>
    <row r="7" spans="2:2" ht="28.5" x14ac:dyDescent="0.2">
      <c r="B7" s="3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84"/>
  <sheetViews>
    <sheetView showGridLines="0" tabSelected="1" zoomScaleNormal="100" workbookViewId="0">
      <selection activeCell="B2" sqref="B2:J2"/>
    </sheetView>
  </sheetViews>
  <sheetFormatPr defaultRowHeight="12.75" x14ac:dyDescent="0.2"/>
  <cols>
    <col min="1" max="1" width="2.625" style="5" customWidth="1"/>
    <col min="2" max="2" width="32.75" customWidth="1"/>
    <col min="3" max="3" width="15.875" customWidth="1"/>
    <col min="4" max="4" width="12.875" customWidth="1"/>
    <col min="5" max="5" width="14.375" customWidth="1"/>
    <col min="6" max="6" width="2.625" customWidth="1"/>
    <col min="7" max="7" width="30.625" customWidth="1"/>
    <col min="8" max="8" width="15.875" customWidth="1"/>
    <col min="9" max="9" width="12.875" customWidth="1"/>
    <col min="10" max="10" width="17.625" customWidth="1"/>
    <col min="11" max="11" width="2.625" customWidth="1"/>
  </cols>
  <sheetData>
    <row r="1" spans="1:10" s="1" customFormat="1" ht="14.25" x14ac:dyDescent="0.2">
      <c r="A1" s="4" t="s">
        <v>69</v>
      </c>
    </row>
    <row r="2" spans="1:10" s="1" customFormat="1" ht="71.25" customHeight="1" x14ac:dyDescent="0.2">
      <c r="A2" s="20" t="s">
        <v>77</v>
      </c>
      <c r="B2" s="29" t="s">
        <v>143</v>
      </c>
      <c r="C2" s="29"/>
      <c r="D2" s="29"/>
      <c r="E2" s="29"/>
      <c r="F2" s="29"/>
      <c r="G2" s="29"/>
      <c r="H2" s="29"/>
      <c r="I2" s="29"/>
      <c r="J2" s="29"/>
    </row>
    <row r="4" spans="1:10" ht="24.95" customHeight="1" x14ac:dyDescent="0.2">
      <c r="A4" s="5" t="s">
        <v>88</v>
      </c>
      <c r="B4" s="30" t="s">
        <v>72</v>
      </c>
      <c r="C4" s="31"/>
      <c r="D4" s="8"/>
      <c r="E4" s="28" t="s">
        <v>74</v>
      </c>
      <c r="F4" s="28"/>
      <c r="G4" s="28"/>
      <c r="H4" s="25">
        <f>C7-J61</f>
        <v>-1389.0400000000004</v>
      </c>
    </row>
    <row r="5" spans="1:10" ht="24.95" customHeight="1" x14ac:dyDescent="0.2">
      <c r="B5" s="12" t="s">
        <v>0</v>
      </c>
      <c r="C5" s="13">
        <v>2280</v>
      </c>
      <c r="E5" s="28"/>
      <c r="F5" s="28"/>
      <c r="G5" s="28"/>
      <c r="H5" s="25"/>
      <c r="I5" s="9"/>
    </row>
    <row r="6" spans="1:10" ht="24.95" customHeight="1" x14ac:dyDescent="0.2">
      <c r="B6" s="12" t="s">
        <v>1</v>
      </c>
      <c r="C6" s="13">
        <v>0</v>
      </c>
      <c r="E6" s="28" t="s">
        <v>75</v>
      </c>
      <c r="F6" s="28"/>
      <c r="G6" s="28"/>
      <c r="H6" s="25">
        <f>C12-J63</f>
        <v>483.26999999999953</v>
      </c>
      <c r="I6" s="9"/>
    </row>
    <row r="7" spans="1:10" ht="24.95" customHeight="1" x14ac:dyDescent="0.2">
      <c r="A7" s="5" t="s">
        <v>89</v>
      </c>
      <c r="B7" s="12" t="s">
        <v>2</v>
      </c>
      <c r="C7" s="14">
        <f>SUM(C5:C6)</f>
        <v>2280</v>
      </c>
      <c r="E7" s="28"/>
      <c r="F7" s="28"/>
      <c r="G7" s="28"/>
      <c r="H7" s="25"/>
      <c r="I7" s="9"/>
    </row>
    <row r="8" spans="1:10" ht="24.95" customHeight="1" x14ac:dyDescent="0.2">
      <c r="B8" s="2"/>
      <c r="C8" s="2"/>
      <c r="D8" s="2"/>
      <c r="E8" s="28" t="s">
        <v>76</v>
      </c>
      <c r="F8" s="28"/>
      <c r="G8" s="28"/>
      <c r="H8" s="25">
        <f>H6-H4</f>
        <v>1872.31</v>
      </c>
      <c r="I8" s="9"/>
    </row>
    <row r="9" spans="1:10" ht="24.95" customHeight="1" x14ac:dyDescent="0.2">
      <c r="A9" s="5" t="s">
        <v>81</v>
      </c>
      <c r="B9" s="30" t="s">
        <v>73</v>
      </c>
      <c r="C9" s="32"/>
      <c r="D9" s="8"/>
      <c r="E9" s="28"/>
      <c r="F9" s="28"/>
      <c r="G9" s="28"/>
      <c r="H9" s="25"/>
      <c r="I9" s="10"/>
    </row>
    <row r="10" spans="1:10" ht="24.95" customHeight="1" x14ac:dyDescent="0.2">
      <c r="B10" s="12" t="s">
        <v>0</v>
      </c>
      <c r="C10" s="13">
        <f>1140.83*2</f>
        <v>2281.66</v>
      </c>
      <c r="I10" s="9"/>
    </row>
    <row r="11" spans="1:10" ht="24.95" customHeight="1" x14ac:dyDescent="0.2">
      <c r="B11" s="12" t="s">
        <v>144</v>
      </c>
      <c r="C11" s="13">
        <v>1200</v>
      </c>
      <c r="E11" s="9"/>
      <c r="H11" s="11"/>
      <c r="I11" s="9"/>
    </row>
    <row r="12" spans="1:10" ht="24.95" customHeight="1" x14ac:dyDescent="0.2">
      <c r="B12" s="12" t="s">
        <v>2</v>
      </c>
      <c r="C12" s="14">
        <f>SUM(C10:C11)</f>
        <v>3481.66</v>
      </c>
    </row>
    <row r="14" spans="1:10" ht="24.95" customHeight="1" x14ac:dyDescent="0.2">
      <c r="A14" s="5" t="s">
        <v>82</v>
      </c>
      <c r="B14" s="17" t="s">
        <v>3</v>
      </c>
      <c r="C14" s="17" t="s">
        <v>4</v>
      </c>
      <c r="D14" s="17" t="s">
        <v>5</v>
      </c>
      <c r="E14" s="17" t="s">
        <v>6</v>
      </c>
      <c r="F14" s="18"/>
      <c r="G14" s="17" t="s">
        <v>7</v>
      </c>
      <c r="H14" s="17" t="s">
        <v>4</v>
      </c>
      <c r="I14" s="17" t="s">
        <v>5</v>
      </c>
      <c r="J14" s="17" t="s">
        <v>6</v>
      </c>
    </row>
    <row r="15" spans="1:10" ht="24.95" customHeight="1" x14ac:dyDescent="0.2">
      <c r="B15" s="15" t="s">
        <v>140</v>
      </c>
      <c r="C15" s="16">
        <v>450</v>
      </c>
      <c r="D15" s="16">
        <v>0</v>
      </c>
      <c r="E15" s="16">
        <f>Housing[[#This Row],[Projected Cost]]-Housing[[#This Row],[Actual Cost]]</f>
        <v>450</v>
      </c>
      <c r="F15" s="18"/>
      <c r="G15" s="15" t="s">
        <v>8</v>
      </c>
      <c r="H15" s="16"/>
      <c r="I15" s="16"/>
      <c r="J15" s="16">
        <f>Entertainment[[#This Row],[Projected Cost]]-Entertainment[[#This Row],[Actual Cost]]</f>
        <v>0</v>
      </c>
    </row>
    <row r="16" spans="1:10" ht="24.95" customHeight="1" x14ac:dyDescent="0.2">
      <c r="B16" s="15" t="s">
        <v>9</v>
      </c>
      <c r="C16" s="16">
        <v>90</v>
      </c>
      <c r="D16" s="16">
        <v>89.86</v>
      </c>
      <c r="E16" s="16">
        <f>Housing[[#This Row],[Projected Cost]]-Housing[[#This Row],[Actual Cost]]</f>
        <v>0.14000000000000057</v>
      </c>
      <c r="F16" s="18"/>
      <c r="G16" s="15" t="s">
        <v>10</v>
      </c>
      <c r="H16" s="16"/>
      <c r="I16" s="16"/>
      <c r="J16" s="16">
        <f>Entertainment[[#This Row],[Projected Cost]]-Entertainment[[#This Row],[Actual Cost]]</f>
        <v>0</v>
      </c>
    </row>
    <row r="17" spans="1:10" ht="24.95" customHeight="1" x14ac:dyDescent="0.2">
      <c r="B17" s="15" t="s">
        <v>11</v>
      </c>
      <c r="C17" s="16">
        <v>145</v>
      </c>
      <c r="D17" s="16">
        <v>145</v>
      </c>
      <c r="E17" s="16">
        <f>Housing[[#This Row],[Projected Cost]]-Housing[[#This Row],[Actual Cost]]</f>
        <v>0</v>
      </c>
      <c r="F17" s="18"/>
      <c r="G17" s="15" t="s">
        <v>12</v>
      </c>
      <c r="H17" s="16">
        <v>15</v>
      </c>
      <c r="I17" s="16">
        <v>0</v>
      </c>
      <c r="J17" s="16">
        <f>Entertainment[[#This Row],[Projected Cost]]-Entertainment[[#This Row],[Actual Cost]]</f>
        <v>15</v>
      </c>
    </row>
    <row r="18" spans="1:10" ht="24.95" customHeight="1" x14ac:dyDescent="0.2">
      <c r="B18" s="15" t="s">
        <v>13</v>
      </c>
      <c r="C18" s="16">
        <v>0</v>
      </c>
      <c r="D18" s="16">
        <v>0</v>
      </c>
      <c r="E18" s="16">
        <f>Housing[[#This Row],[Projected Cost]]-Housing[[#This Row],[Actual Cost]]</f>
        <v>0</v>
      </c>
      <c r="F18" s="18"/>
      <c r="G18" s="15" t="s">
        <v>14</v>
      </c>
      <c r="H18" s="16"/>
      <c r="I18" s="16"/>
      <c r="J18" s="16">
        <f>Entertainment[[#This Row],[Projected Cost]]-Entertainment[[#This Row],[Actual Cost]]</f>
        <v>0</v>
      </c>
    </row>
    <row r="19" spans="1:10" ht="24.95" customHeight="1" x14ac:dyDescent="0.2">
      <c r="B19" s="15" t="s">
        <v>91</v>
      </c>
      <c r="C19" s="16">
        <v>60</v>
      </c>
      <c r="D19" s="16">
        <v>52.66</v>
      </c>
      <c r="E19" s="16">
        <f>Housing[[#This Row],[Projected Cost]]-Housing[[#This Row],[Actual Cost]]</f>
        <v>7.3400000000000034</v>
      </c>
      <c r="F19" s="18"/>
      <c r="G19" s="15" t="s">
        <v>15</v>
      </c>
      <c r="H19" s="16"/>
      <c r="I19" s="16"/>
      <c r="J19" s="16">
        <f>Entertainment[[#This Row],[Projected Cost]]-Entertainment[[#This Row],[Actual Cost]]</f>
        <v>0</v>
      </c>
    </row>
    <row r="20" spans="1:10" ht="24.95" customHeight="1" x14ac:dyDescent="0.2">
      <c r="B20" s="15" t="s">
        <v>16</v>
      </c>
      <c r="C20" s="16">
        <v>105.63</v>
      </c>
      <c r="D20" s="16">
        <v>105.63</v>
      </c>
      <c r="E20" s="16">
        <f>Housing[[#This Row],[Projected Cost]]-Housing[[#This Row],[Actual Cost]]</f>
        <v>0</v>
      </c>
      <c r="F20" s="18"/>
      <c r="G20" s="15" t="s">
        <v>17</v>
      </c>
      <c r="H20" s="16"/>
      <c r="I20" s="16"/>
      <c r="J20" s="16">
        <f>Entertainment[[#This Row],[Projected Cost]]-Entertainment[[#This Row],[Actual Cost]]</f>
        <v>0</v>
      </c>
    </row>
    <row r="21" spans="1:10" ht="24.95" customHeight="1" x14ac:dyDescent="0.2">
      <c r="B21" s="15" t="s">
        <v>18</v>
      </c>
      <c r="C21" s="16">
        <v>0</v>
      </c>
      <c r="D21" s="16">
        <v>0</v>
      </c>
      <c r="E21" s="16">
        <f>Housing[[#This Row],[Projected Cost]]-Housing[[#This Row],[Actual Cost]]</f>
        <v>0</v>
      </c>
      <c r="F21" s="18"/>
      <c r="G21" s="15" t="s">
        <v>19</v>
      </c>
      <c r="H21" s="16">
        <v>10</v>
      </c>
      <c r="I21" s="16">
        <v>0</v>
      </c>
      <c r="J21" s="16">
        <f>Entertainment[[#This Row],[Projected Cost]]-Entertainment[[#This Row],[Actual Cost]]</f>
        <v>10</v>
      </c>
    </row>
    <row r="22" spans="1:10" ht="24.95" customHeight="1" x14ac:dyDescent="0.2">
      <c r="B22" s="15" t="s">
        <v>20</v>
      </c>
      <c r="C22" s="16">
        <v>0</v>
      </c>
      <c r="D22" s="16">
        <v>0</v>
      </c>
      <c r="E22" s="16">
        <f>Housing[[#This Row],[Projected Cost]]-Housing[[#This Row],[Actual Cost]]</f>
        <v>0</v>
      </c>
      <c r="F22" s="18"/>
      <c r="G22" s="15" t="s">
        <v>19</v>
      </c>
      <c r="H22" s="16"/>
      <c r="I22" s="16"/>
      <c r="J22" s="16">
        <f>Entertainment[[#This Row],[Projected Cost]]-Entertainment[[#This Row],[Actual Cost]]</f>
        <v>0</v>
      </c>
    </row>
    <row r="23" spans="1:10" ht="24.95" customHeight="1" x14ac:dyDescent="0.2">
      <c r="B23" s="15" t="s">
        <v>101</v>
      </c>
      <c r="C23" s="16">
        <f>12.97+9.98+3.47+3.97+25+1.98+5+2+10</f>
        <v>74.37</v>
      </c>
      <c r="D23" s="16">
        <v>75</v>
      </c>
      <c r="E23" s="16">
        <f>Housing[[#This Row],[Projected Cost]]-Housing[[#This Row],[Actual Cost]]</f>
        <v>-0.62999999999999545</v>
      </c>
      <c r="F23" s="18"/>
      <c r="G23" s="15" t="s">
        <v>119</v>
      </c>
      <c r="H23" s="16">
        <v>7</v>
      </c>
      <c r="I23" s="16">
        <v>7</v>
      </c>
      <c r="J23" s="16">
        <f>Entertainment[[#This Row],[Projected Cost]]-Entertainment[[#This Row],[Actual Cost]]</f>
        <v>0</v>
      </c>
    </row>
    <row r="24" spans="1:10" ht="24.95" customHeight="1" x14ac:dyDescent="0.2">
      <c r="B24" s="15" t="s">
        <v>100</v>
      </c>
      <c r="C24" s="16">
        <v>55</v>
      </c>
      <c r="D24" s="16">
        <v>55</v>
      </c>
      <c r="E24" s="16">
        <f>Housing[[#This Row],[Projected Cost]]-Housing[[#This Row],[Actual Cost]]</f>
        <v>0</v>
      </c>
      <c r="F24" s="18"/>
      <c r="G24" s="19" t="s">
        <v>63</v>
      </c>
      <c r="H24" s="16">
        <f>SUBTOTAL(109,Entertainment[Projected Cost])</f>
        <v>32</v>
      </c>
      <c r="I24" s="16">
        <f>SUBTOTAL(109,Entertainment[Actual Cost])</f>
        <v>7</v>
      </c>
      <c r="J24" s="16">
        <f>SUBTOTAL(109,Entertainment[Difference])</f>
        <v>25</v>
      </c>
    </row>
    <row r="25" spans="1:10" ht="24.95" customHeight="1" x14ac:dyDescent="0.2">
      <c r="B25" s="19" t="s">
        <v>63</v>
      </c>
      <c r="C25" s="16">
        <f>SUBTOTAL(109,Housing[Projected Cost])</f>
        <v>980</v>
      </c>
      <c r="D25" s="16">
        <f>SUBTOTAL(109,Housing[Actual Cost])</f>
        <v>523.15</v>
      </c>
      <c r="E25" s="16">
        <f>SUBTOTAL(109,Housing[Difference])</f>
        <v>456.85</v>
      </c>
      <c r="F25" s="18"/>
      <c r="G25" s="27"/>
      <c r="H25" s="27"/>
      <c r="I25" s="27"/>
      <c r="J25" s="27"/>
    </row>
    <row r="26" spans="1:10" ht="24.95" customHeight="1" x14ac:dyDescent="0.2">
      <c r="B26" s="27"/>
      <c r="C26" s="27"/>
      <c r="D26" s="27"/>
      <c r="E26" s="27"/>
      <c r="F26" s="18"/>
      <c r="G26" s="17" t="s">
        <v>21</v>
      </c>
      <c r="H26" s="17" t="s">
        <v>4</v>
      </c>
      <c r="I26" s="17" t="s">
        <v>5</v>
      </c>
      <c r="J26" s="17" t="s">
        <v>6</v>
      </c>
    </row>
    <row r="27" spans="1:10" ht="24.95" customHeight="1" x14ac:dyDescent="0.2">
      <c r="A27" s="5" t="s">
        <v>83</v>
      </c>
      <c r="B27" s="17" t="s">
        <v>22</v>
      </c>
      <c r="C27" s="17" t="s">
        <v>4</v>
      </c>
      <c r="D27" s="17" t="s">
        <v>5</v>
      </c>
      <c r="E27" s="17" t="s">
        <v>6</v>
      </c>
      <c r="F27" s="18"/>
      <c r="G27" s="15" t="s">
        <v>23</v>
      </c>
      <c r="H27" s="16">
        <v>25</v>
      </c>
      <c r="I27" s="16">
        <v>25</v>
      </c>
      <c r="J27" s="16">
        <f>Loans[[#This Row],[Projected Cost]]-Loans[[#This Row],[Actual Cost]]</f>
        <v>0</v>
      </c>
    </row>
    <row r="28" spans="1:10" ht="24.95" customHeight="1" x14ac:dyDescent="0.2">
      <c r="B28" s="15" t="s">
        <v>24</v>
      </c>
      <c r="C28" s="16">
        <v>265</v>
      </c>
      <c r="D28" s="16">
        <v>261.52999999999997</v>
      </c>
      <c r="E28" s="16">
        <f>Transportation[[#This Row],[Projected Cost]]-Transportation[[#This Row],[Actual Cost]]</f>
        <v>3.4700000000000273</v>
      </c>
      <c r="F28" s="18"/>
      <c r="G28" s="15" t="s">
        <v>25</v>
      </c>
      <c r="H28" s="16">
        <v>0</v>
      </c>
      <c r="I28" s="16">
        <v>0</v>
      </c>
      <c r="J28" s="16">
        <f>Loans[[#This Row],[Projected Cost]]-Loans[[#This Row],[Actual Cost]]</f>
        <v>0</v>
      </c>
    </row>
    <row r="29" spans="1:10" ht="24.95" customHeight="1" x14ac:dyDescent="0.2">
      <c r="B29" s="15" t="s">
        <v>26</v>
      </c>
      <c r="C29" s="16">
        <v>0</v>
      </c>
      <c r="D29" s="16">
        <v>0</v>
      </c>
      <c r="E29" s="16">
        <f>Transportation[[#This Row],[Projected Cost]]-Transportation[[#This Row],[Actual Cost]]</f>
        <v>0</v>
      </c>
      <c r="F29" s="18"/>
      <c r="G29" s="15" t="s">
        <v>106</v>
      </c>
      <c r="H29" s="16">
        <v>27</v>
      </c>
      <c r="I29" s="16">
        <v>27</v>
      </c>
      <c r="J29" s="16">
        <f>Loans[[#This Row],[Projected Cost]]-Loans[[#This Row],[Actual Cost]]</f>
        <v>0</v>
      </c>
    </row>
    <row r="30" spans="1:10" ht="24.95" customHeight="1" x14ac:dyDescent="0.2">
      <c r="B30" s="15" t="s">
        <v>27</v>
      </c>
      <c r="C30" s="16">
        <v>51.08</v>
      </c>
      <c r="D30" s="16">
        <v>51.08</v>
      </c>
      <c r="E30" s="16">
        <f>Transportation[[#This Row],[Projected Cost]]-Transportation[[#This Row],[Actual Cost]]</f>
        <v>0</v>
      </c>
      <c r="F30" s="18"/>
      <c r="G30" s="15" t="s">
        <v>107</v>
      </c>
      <c r="H30" s="16">
        <v>150</v>
      </c>
      <c r="I30" s="16">
        <v>100</v>
      </c>
      <c r="J30" s="16">
        <f>Loans[[#This Row],[Projected Cost]]-Loans[[#This Row],[Actual Cost]]</f>
        <v>50</v>
      </c>
    </row>
    <row r="31" spans="1:10" ht="24.95" customHeight="1" x14ac:dyDescent="0.2">
      <c r="B31" s="15" t="s">
        <v>28</v>
      </c>
      <c r="C31" s="16">
        <v>0</v>
      </c>
      <c r="D31" s="16">
        <v>0</v>
      </c>
      <c r="E31" s="16">
        <f>Transportation[[#This Row],[Projected Cost]]-Transportation[[#This Row],[Actual Cost]]</f>
        <v>0</v>
      </c>
      <c r="F31" s="18"/>
      <c r="G31" s="15" t="s">
        <v>110</v>
      </c>
      <c r="H31" s="16">
        <v>150</v>
      </c>
      <c r="I31" s="16">
        <v>44.67</v>
      </c>
      <c r="J31" s="16">
        <f>Loans[[#This Row],[Projected Cost]]-Loans[[#This Row],[Actual Cost]]</f>
        <v>105.33</v>
      </c>
    </row>
    <row r="32" spans="1:10" ht="24.95" customHeight="1" x14ac:dyDescent="0.2">
      <c r="B32" s="15" t="s">
        <v>29</v>
      </c>
      <c r="C32" s="16">
        <v>250</v>
      </c>
      <c r="D32" s="16">
        <v>150</v>
      </c>
      <c r="E32" s="16">
        <f>Transportation[[#This Row],[Projected Cost]]-Transportation[[#This Row],[Actual Cost]]</f>
        <v>100</v>
      </c>
      <c r="F32" s="18"/>
      <c r="G32" s="15" t="s">
        <v>95</v>
      </c>
      <c r="H32" s="16">
        <v>225</v>
      </c>
      <c r="I32" s="16">
        <v>225</v>
      </c>
      <c r="J32" s="16">
        <f>Loans[[#This Row],[Projected Cost]]-Loans[[#This Row],[Actual Cost]]</f>
        <v>0</v>
      </c>
    </row>
    <row r="33" spans="1:10" ht="24.95" customHeight="1" x14ac:dyDescent="0.2">
      <c r="B33" s="15" t="s">
        <v>30</v>
      </c>
      <c r="C33" s="16">
        <v>50</v>
      </c>
      <c r="D33" s="16">
        <v>0</v>
      </c>
      <c r="E33" s="16">
        <f>Transportation[[#This Row],[Projected Cost]]-Transportation[[#This Row],[Actual Cost]]</f>
        <v>50</v>
      </c>
      <c r="F33" s="18"/>
      <c r="G33" s="19" t="s">
        <v>63</v>
      </c>
      <c r="H33" s="16">
        <f>SUBTOTAL(109,Loans[Projected Cost])</f>
        <v>577</v>
      </c>
      <c r="I33" s="16">
        <f>SUBTOTAL(109,Loans[Actual Cost])</f>
        <v>421.67</v>
      </c>
      <c r="J33" s="16">
        <f>SUBTOTAL(109,Loans[Difference])</f>
        <v>155.32999999999998</v>
      </c>
    </row>
    <row r="34" spans="1:10" ht="24.95" customHeight="1" x14ac:dyDescent="0.2">
      <c r="B34" s="15" t="s">
        <v>19</v>
      </c>
      <c r="C34" s="16">
        <v>25</v>
      </c>
      <c r="D34" s="16">
        <v>0</v>
      </c>
      <c r="E34" s="16">
        <f>Transportation[[#This Row],[Projected Cost]]-Transportation[[#This Row],[Actual Cost]]</f>
        <v>25</v>
      </c>
      <c r="F34" s="18"/>
      <c r="G34" s="27"/>
      <c r="H34" s="27"/>
      <c r="I34" s="27"/>
      <c r="J34" s="27"/>
    </row>
    <row r="35" spans="1:10" ht="24.95" customHeight="1" x14ac:dyDescent="0.2">
      <c r="B35" s="19" t="s">
        <v>63</v>
      </c>
      <c r="C35" s="16">
        <f>SUBTOTAL(109,Transportation[Projected Cost])</f>
        <v>641.07999999999993</v>
      </c>
      <c r="D35" s="16">
        <f>SUBTOTAL(109,Transportation[Actual Cost])</f>
        <v>462.60999999999996</v>
      </c>
      <c r="E35" s="16">
        <f>SUBTOTAL(109,Transportation[Difference])</f>
        <v>178.47000000000003</v>
      </c>
      <c r="F35" s="18"/>
      <c r="G35" s="17" t="s">
        <v>31</v>
      </c>
      <c r="H35" s="17" t="s">
        <v>4</v>
      </c>
      <c r="I35" s="17" t="s">
        <v>5</v>
      </c>
      <c r="J35" s="17" t="s">
        <v>6</v>
      </c>
    </row>
    <row r="36" spans="1:10" ht="24.95" customHeight="1" x14ac:dyDescent="0.2">
      <c r="B36" s="27"/>
      <c r="C36" s="27"/>
      <c r="D36" s="27"/>
      <c r="E36" s="27"/>
      <c r="F36" s="18"/>
      <c r="G36" s="15" t="s">
        <v>32</v>
      </c>
      <c r="H36" s="16">
        <f t="shared" ref="H36" si="0">70.51*2</f>
        <v>141.02000000000001</v>
      </c>
      <c r="I36" s="16">
        <v>141.02000000000001</v>
      </c>
      <c r="J36" s="16">
        <f>Taxes[[#This Row],[Projected Cost]]-Taxes[[#This Row],[Actual Cost]]</f>
        <v>0</v>
      </c>
    </row>
    <row r="37" spans="1:10" ht="24.95" customHeight="1" x14ac:dyDescent="0.2">
      <c r="A37" s="5" t="s">
        <v>90</v>
      </c>
      <c r="B37" s="17" t="s">
        <v>33</v>
      </c>
      <c r="C37" s="17" t="s">
        <v>4</v>
      </c>
      <c r="D37" s="17" t="s">
        <v>5</v>
      </c>
      <c r="E37" s="17" t="s">
        <v>6</v>
      </c>
      <c r="F37" s="18"/>
      <c r="G37" s="15" t="s">
        <v>34</v>
      </c>
      <c r="H37" s="16">
        <f>37.41*2</f>
        <v>74.819999999999993</v>
      </c>
      <c r="I37" s="16">
        <v>74.819999999999993</v>
      </c>
      <c r="J37" s="16">
        <f>Taxes[[#This Row],[Projected Cost]]-Taxes[[#This Row],[Actual Cost]]</f>
        <v>0</v>
      </c>
    </row>
    <row r="38" spans="1:10" ht="24.95" customHeight="1" x14ac:dyDescent="0.2">
      <c r="B38" s="15" t="s">
        <v>35</v>
      </c>
      <c r="C38" s="16">
        <v>10</v>
      </c>
      <c r="D38" s="16">
        <v>10</v>
      </c>
      <c r="E38" s="16">
        <f>Insurance[[#This Row],[Projected Cost]]-Insurance[[#This Row],[Actual Cost]]</f>
        <v>0</v>
      </c>
      <c r="F38" s="18"/>
      <c r="G38" s="15" t="s">
        <v>102</v>
      </c>
      <c r="H38" s="16">
        <f>63.14*2</f>
        <v>126.28</v>
      </c>
      <c r="I38" s="16">
        <v>126.28</v>
      </c>
      <c r="J38" s="16">
        <f>Taxes[[#This Row],[Projected Cost]]-Taxes[[#This Row],[Actual Cost]]</f>
        <v>0</v>
      </c>
    </row>
    <row r="39" spans="1:10" ht="24.95" customHeight="1" x14ac:dyDescent="0.2">
      <c r="B39" s="15" t="s">
        <v>36</v>
      </c>
      <c r="C39" s="16">
        <f>(6.15+12.41+8.87+5.33)*2</f>
        <v>65.52</v>
      </c>
      <c r="D39" s="16">
        <v>65.52</v>
      </c>
      <c r="E39" s="16">
        <f>Insurance[[#This Row],[Projected Cost]]-Insurance[[#This Row],[Actual Cost]]</f>
        <v>0</v>
      </c>
      <c r="F39" s="18"/>
      <c r="G39" s="15" t="s">
        <v>103</v>
      </c>
      <c r="H39" s="16">
        <f>14.77*2</f>
        <v>29.54</v>
      </c>
      <c r="I39" s="16">
        <v>29.54</v>
      </c>
      <c r="J39" s="16">
        <f>Taxes[[#This Row],[Projected Cost]]-Taxes[[#This Row],[Actual Cost]]</f>
        <v>0</v>
      </c>
    </row>
    <row r="40" spans="1:10" ht="24.95" customHeight="1" x14ac:dyDescent="0.2">
      <c r="B40" s="15" t="s">
        <v>37</v>
      </c>
      <c r="C40" s="16">
        <f>(1.64+0.75)*2</f>
        <v>4.7799999999999994</v>
      </c>
      <c r="D40" s="16">
        <v>4.78</v>
      </c>
      <c r="E40" s="16">
        <f>Insurance[[#This Row],[Projected Cost]]-Insurance[[#This Row],[Actual Cost]]</f>
        <v>0</v>
      </c>
      <c r="F40" s="18"/>
      <c r="G40" s="19" t="s">
        <v>63</v>
      </c>
      <c r="H40" s="16">
        <f>SUBTOTAL(109,Taxes[Projected Cost])</f>
        <v>371.66</v>
      </c>
      <c r="I40" s="16">
        <f>SUBTOTAL(109,Taxes[Actual Cost])</f>
        <v>371.66</v>
      </c>
      <c r="J40" s="16">
        <f>SUBTOTAL(109,Taxes[Difference])</f>
        <v>0</v>
      </c>
    </row>
    <row r="41" spans="1:10" ht="24.95" customHeight="1" x14ac:dyDescent="0.2">
      <c r="B41" s="15" t="s">
        <v>19</v>
      </c>
      <c r="C41" s="16"/>
      <c r="D41" s="16"/>
      <c r="E41" s="16">
        <f>Insurance[[#This Row],[Projected Cost]]-Insurance[[#This Row],[Actual Cost]]</f>
        <v>0</v>
      </c>
      <c r="F41" s="18"/>
      <c r="G41" s="27"/>
      <c r="H41" s="27"/>
      <c r="I41" s="27"/>
      <c r="J41" s="27"/>
    </row>
    <row r="42" spans="1:10" ht="24.95" customHeight="1" x14ac:dyDescent="0.2">
      <c r="B42" s="19" t="s">
        <v>63</v>
      </c>
      <c r="C42" s="16">
        <f>SUBTOTAL(109,Insurance[Projected Cost])</f>
        <v>80.3</v>
      </c>
      <c r="D42" s="16">
        <f>SUBTOTAL(109,Insurance[Actual Cost])</f>
        <v>80.3</v>
      </c>
      <c r="E42" s="16">
        <f>SUBTOTAL(109,Insurance[Difference])</f>
        <v>0</v>
      </c>
      <c r="F42" s="18"/>
      <c r="G42" s="17" t="s">
        <v>38</v>
      </c>
      <c r="H42" s="17" t="s">
        <v>4</v>
      </c>
      <c r="I42" s="17" t="s">
        <v>5</v>
      </c>
      <c r="J42" s="17" t="s">
        <v>6</v>
      </c>
    </row>
    <row r="43" spans="1:10" ht="24.95" customHeight="1" x14ac:dyDescent="0.2">
      <c r="B43" s="27"/>
      <c r="C43" s="27"/>
      <c r="D43" s="27"/>
      <c r="E43" s="27"/>
      <c r="F43" s="18"/>
      <c r="G43" s="15" t="s">
        <v>39</v>
      </c>
      <c r="H43" s="16">
        <f>56*2</f>
        <v>112</v>
      </c>
      <c r="I43" s="16">
        <v>112</v>
      </c>
      <c r="J43" s="16">
        <f>Savings[[#This Row],[Projected Cost]]-Savings[[#This Row],[Actual Cost]]</f>
        <v>0</v>
      </c>
    </row>
    <row r="44" spans="1:10" ht="24.95" customHeight="1" x14ac:dyDescent="0.2">
      <c r="A44" s="5" t="s">
        <v>84</v>
      </c>
      <c r="B44" s="17" t="s">
        <v>40</v>
      </c>
      <c r="C44" s="17" t="s">
        <v>4</v>
      </c>
      <c r="D44" s="17" t="s">
        <v>5</v>
      </c>
      <c r="E44" s="17" t="s">
        <v>6</v>
      </c>
      <c r="F44" s="18"/>
      <c r="G44" s="15" t="s">
        <v>41</v>
      </c>
      <c r="H44" s="16"/>
      <c r="I44" s="16"/>
      <c r="J44" s="16">
        <f>Savings[[#This Row],[Projected Cost]]-Savings[[#This Row],[Actual Cost]]</f>
        <v>0</v>
      </c>
    </row>
    <row r="45" spans="1:10" ht="24.95" customHeight="1" x14ac:dyDescent="0.2">
      <c r="B45" s="15" t="s">
        <v>42</v>
      </c>
      <c r="C45" s="16">
        <v>300</v>
      </c>
      <c r="D45" s="16">
        <v>450</v>
      </c>
      <c r="E45" s="16">
        <f>Food[[#This Row],[Projected Cost]]-Food[[#This Row],[Actual Cost]]</f>
        <v>-150</v>
      </c>
      <c r="F45" s="18"/>
      <c r="G45" s="15" t="s">
        <v>115</v>
      </c>
      <c r="H45" s="16">
        <v>150</v>
      </c>
      <c r="I45" s="16">
        <v>150</v>
      </c>
      <c r="J45" s="16">
        <f>Savings[[#This Row],[Projected Cost]]-Savings[[#This Row],[Actual Cost]]</f>
        <v>0</v>
      </c>
    </row>
    <row r="46" spans="1:10" ht="24.95" customHeight="1" x14ac:dyDescent="0.2">
      <c r="B46" s="15" t="s">
        <v>43</v>
      </c>
      <c r="C46" s="16">
        <v>100</v>
      </c>
      <c r="D46" s="16">
        <v>100</v>
      </c>
      <c r="E46" s="16">
        <f>Food[[#This Row],[Projected Cost]]-Food[[#This Row],[Actual Cost]]</f>
        <v>0</v>
      </c>
      <c r="F46" s="18"/>
      <c r="G46" s="19" t="s">
        <v>63</v>
      </c>
      <c r="H46" s="16">
        <f>SUBTOTAL(109,Savings[Projected Cost])</f>
        <v>262</v>
      </c>
      <c r="I46" s="16">
        <f>SUBTOTAL(109,Savings[Actual Cost])</f>
        <v>262</v>
      </c>
      <c r="J46" s="16">
        <f>SUBTOTAL(109,Savings[Difference])</f>
        <v>0</v>
      </c>
    </row>
    <row r="47" spans="1:10" ht="24.95" customHeight="1" x14ac:dyDescent="0.2">
      <c r="B47" s="15" t="s">
        <v>19</v>
      </c>
      <c r="C47" s="16"/>
      <c r="D47" s="16"/>
      <c r="E47" s="16">
        <f>Food[[#This Row],[Projected Cost]]-Food[[#This Row],[Actual Cost]]</f>
        <v>0</v>
      </c>
      <c r="F47" s="18"/>
      <c r="G47" s="27"/>
      <c r="H47" s="27"/>
      <c r="I47" s="27"/>
      <c r="J47" s="27"/>
    </row>
    <row r="48" spans="1:10" ht="24.95" customHeight="1" x14ac:dyDescent="0.2">
      <c r="B48" s="19" t="s">
        <v>63</v>
      </c>
      <c r="C48" s="16">
        <f>SUBTOTAL(109,Food[Projected Cost])</f>
        <v>400</v>
      </c>
      <c r="D48" s="16">
        <f>SUBTOTAL(109,Food[Actual Cost])</f>
        <v>550</v>
      </c>
      <c r="E48" s="16">
        <f>SUBTOTAL(109,Food[Difference])</f>
        <v>-150</v>
      </c>
      <c r="F48" s="18"/>
      <c r="G48" s="17" t="s">
        <v>44</v>
      </c>
      <c r="H48" s="17" t="s">
        <v>4</v>
      </c>
      <c r="I48" s="17" t="s">
        <v>5</v>
      </c>
      <c r="J48" s="17" t="s">
        <v>6</v>
      </c>
    </row>
    <row r="49" spans="1:10" ht="24.95" customHeight="1" x14ac:dyDescent="0.2">
      <c r="B49" s="27"/>
      <c r="C49" s="27"/>
      <c r="D49" s="27"/>
      <c r="E49" s="27"/>
      <c r="F49" s="18"/>
      <c r="G49" s="15" t="s">
        <v>45</v>
      </c>
      <c r="H49" s="16">
        <v>10</v>
      </c>
      <c r="I49" s="16">
        <v>200</v>
      </c>
      <c r="J49" s="16">
        <f>Gifts[[#This Row],[Projected Cost]]-Gifts[[#This Row],[Actual Cost]]</f>
        <v>-190</v>
      </c>
    </row>
    <row r="50" spans="1:10" ht="24.95" customHeight="1" x14ac:dyDescent="0.2">
      <c r="A50" s="5" t="s">
        <v>85</v>
      </c>
      <c r="B50" s="17" t="s">
        <v>46</v>
      </c>
      <c r="C50" s="17" t="s">
        <v>4</v>
      </c>
      <c r="D50" s="17" t="s">
        <v>5</v>
      </c>
      <c r="E50" s="17" t="s">
        <v>6</v>
      </c>
      <c r="F50" s="18"/>
      <c r="G50" s="15" t="s">
        <v>47</v>
      </c>
      <c r="H50" s="16"/>
      <c r="I50" s="16"/>
      <c r="J50" s="16">
        <f>Gifts[[#This Row],[Projected Cost]]-Gifts[[#This Row],[Actual Cost]]</f>
        <v>0</v>
      </c>
    </row>
    <row r="51" spans="1:10" ht="24.95" customHeight="1" x14ac:dyDescent="0.2">
      <c r="B51" s="15" t="s">
        <v>48</v>
      </c>
      <c r="C51" s="16">
        <v>50</v>
      </c>
      <c r="D51" s="16">
        <v>0</v>
      </c>
      <c r="E51" s="16">
        <f>Pets[[#This Row],[Projected Cost]]-Pets[[#This Row],[Actual Cost]]</f>
        <v>50</v>
      </c>
      <c r="F51" s="18"/>
      <c r="G51" s="15" t="s">
        <v>49</v>
      </c>
      <c r="H51" s="16"/>
      <c r="I51" s="16"/>
      <c r="J51" s="16">
        <f>Gifts[[#This Row],[Projected Cost]]-Gifts[[#This Row],[Actual Cost]]</f>
        <v>0</v>
      </c>
    </row>
    <row r="52" spans="1:10" ht="24.95" customHeight="1" x14ac:dyDescent="0.2">
      <c r="B52" s="15" t="s">
        <v>50</v>
      </c>
      <c r="C52" s="16">
        <v>20</v>
      </c>
      <c r="D52" s="16">
        <v>20</v>
      </c>
      <c r="E52" s="16">
        <f>Pets[[#This Row],[Projected Cost]]-Pets[[#This Row],[Actual Cost]]</f>
        <v>0</v>
      </c>
      <c r="F52" s="18"/>
      <c r="G52" s="19" t="s">
        <v>63</v>
      </c>
      <c r="H52" s="16">
        <f>SUBTOTAL(109,Gifts[Projected Cost])</f>
        <v>10</v>
      </c>
      <c r="I52" s="16">
        <f>SUBTOTAL(109,Gifts[Actual Cost])</f>
        <v>200</v>
      </c>
      <c r="J52" s="16">
        <f>SUBTOTAL(109,Gifts[Difference])</f>
        <v>-190</v>
      </c>
    </row>
    <row r="53" spans="1:10" ht="24.95" customHeight="1" x14ac:dyDescent="0.2">
      <c r="B53" s="15" t="s">
        <v>51</v>
      </c>
      <c r="C53" s="16">
        <v>10</v>
      </c>
      <c r="D53" s="16">
        <v>0</v>
      </c>
      <c r="E53" s="16">
        <f>Pets[[#This Row],[Projected Cost]]-Pets[[#This Row],[Actual Cost]]</f>
        <v>10</v>
      </c>
      <c r="F53" s="18"/>
      <c r="G53" s="27"/>
      <c r="H53" s="27"/>
      <c r="I53" s="27"/>
      <c r="J53" s="27"/>
    </row>
    <row r="54" spans="1:10" ht="24.95" customHeight="1" x14ac:dyDescent="0.2">
      <c r="B54" s="15" t="s">
        <v>52</v>
      </c>
      <c r="C54" s="16">
        <v>5</v>
      </c>
      <c r="D54" s="16"/>
      <c r="E54" s="16">
        <f>Pets[[#This Row],[Projected Cost]]-Pets[[#This Row],[Actual Cost]]</f>
        <v>5</v>
      </c>
      <c r="F54" s="18"/>
      <c r="G54" s="17" t="s">
        <v>53</v>
      </c>
      <c r="H54" s="17" t="s">
        <v>4</v>
      </c>
      <c r="I54" s="17" t="s">
        <v>5</v>
      </c>
      <c r="J54" s="17" t="s">
        <v>6</v>
      </c>
    </row>
    <row r="55" spans="1:10" ht="24.95" customHeight="1" x14ac:dyDescent="0.2">
      <c r="B55" s="15" t="s">
        <v>19</v>
      </c>
      <c r="C55" s="16">
        <v>5</v>
      </c>
      <c r="D55" s="16"/>
      <c r="E55" s="16">
        <f>Pets[[#This Row],[Projected Cost]]-Pets[[#This Row],[Actual Cost]]</f>
        <v>5</v>
      </c>
      <c r="F55" s="18"/>
      <c r="G55" s="15" t="s">
        <v>54</v>
      </c>
      <c r="H55" s="16"/>
      <c r="I55" s="16"/>
      <c r="J55" s="16">
        <f>Legal[[#This Row],[Projected Cost]]-Legal[[#This Row],[Actual Cost]]</f>
        <v>0</v>
      </c>
    </row>
    <row r="56" spans="1:10" ht="24.95" customHeight="1" x14ac:dyDescent="0.2">
      <c r="B56" s="19" t="s">
        <v>63</v>
      </c>
      <c r="C56" s="16">
        <f>SUBTOTAL(109,Pets[Projected Cost])</f>
        <v>90</v>
      </c>
      <c r="D56" s="16">
        <f>SUBTOTAL(109,Pets[Actual Cost])</f>
        <v>20</v>
      </c>
      <c r="E56" s="16">
        <f>SUBTOTAL(109,Pets[Difference])</f>
        <v>70</v>
      </c>
      <c r="F56" s="18"/>
      <c r="G56" s="15" t="s">
        <v>55</v>
      </c>
      <c r="H56" s="16"/>
      <c r="I56" s="16"/>
      <c r="J56" s="16">
        <f>Legal[[#This Row],[Projected Cost]]-Legal[[#This Row],[Actual Cost]]</f>
        <v>0</v>
      </c>
    </row>
    <row r="57" spans="1:10" ht="24.95" customHeight="1" x14ac:dyDescent="0.2">
      <c r="B57" s="27"/>
      <c r="C57" s="27"/>
      <c r="D57" s="27"/>
      <c r="E57" s="27"/>
      <c r="F57" s="18"/>
      <c r="G57" s="15" t="s">
        <v>56</v>
      </c>
      <c r="H57" s="16">
        <v>25</v>
      </c>
      <c r="I57" s="16">
        <v>25</v>
      </c>
      <c r="J57" s="16">
        <f>Legal[[#This Row],[Projected Cost]]-Legal[[#This Row],[Actual Cost]]</f>
        <v>0</v>
      </c>
    </row>
    <row r="58" spans="1:10" ht="24.95" customHeight="1" x14ac:dyDescent="0.2">
      <c r="A58" s="5" t="s">
        <v>86</v>
      </c>
      <c r="B58" s="17" t="s">
        <v>57</v>
      </c>
      <c r="C58" s="17" t="s">
        <v>4</v>
      </c>
      <c r="D58" s="17" t="s">
        <v>5</v>
      </c>
      <c r="E58" s="17" t="s">
        <v>6</v>
      </c>
      <c r="F58" s="18"/>
      <c r="G58" s="15" t="s">
        <v>19</v>
      </c>
      <c r="H58" s="16"/>
      <c r="I58" s="16"/>
      <c r="J58" s="16">
        <f>Legal[[#This Row],[Projected Cost]]-Legal[[#This Row],[Actual Cost]]</f>
        <v>0</v>
      </c>
    </row>
    <row r="59" spans="1:10" ht="24.95" customHeight="1" x14ac:dyDescent="0.2">
      <c r="B59" s="15" t="s">
        <v>50</v>
      </c>
      <c r="C59" s="16">
        <v>75</v>
      </c>
      <c r="D59" s="16">
        <v>75</v>
      </c>
      <c r="E59" s="16">
        <f>PersonalCare[[#This Row],[Projected Cost]]-PersonalCare[[#This Row],[Actual Cost]]</f>
        <v>0</v>
      </c>
      <c r="F59" s="18"/>
      <c r="G59" s="19" t="s">
        <v>63</v>
      </c>
      <c r="H59" s="16">
        <f>SUBTOTAL(109,Legal[Projected Cost])</f>
        <v>25</v>
      </c>
      <c r="I59" s="16">
        <f>SUBTOTAL(109,Legal[Actual Cost])</f>
        <v>25</v>
      </c>
      <c r="J59" s="16">
        <f>SUBTOTAL(109,Legal[Difference])</f>
        <v>0</v>
      </c>
    </row>
    <row r="60" spans="1:10" ht="24.95" customHeight="1" x14ac:dyDescent="0.2">
      <c r="B60" s="15" t="s">
        <v>58</v>
      </c>
      <c r="C60" s="16">
        <v>25</v>
      </c>
      <c r="D60" s="16">
        <v>0</v>
      </c>
      <c r="E60" s="16">
        <f>PersonalCare[[#This Row],[Projected Cost]]-PersonalCare[[#This Row],[Actual Cost]]</f>
        <v>25</v>
      </c>
      <c r="F60" s="18"/>
      <c r="G60" s="27"/>
      <c r="H60" s="27"/>
      <c r="I60" s="27"/>
      <c r="J60" s="27"/>
    </row>
    <row r="61" spans="1:10" ht="24.95" customHeight="1" x14ac:dyDescent="0.2">
      <c r="A61" s="5" t="s">
        <v>87</v>
      </c>
      <c r="B61" s="15" t="s">
        <v>59</v>
      </c>
      <c r="C61" s="16">
        <v>50</v>
      </c>
      <c r="D61" s="16">
        <v>0</v>
      </c>
      <c r="E61" s="16">
        <f>PersonalCare[[#This Row],[Projected Cost]]-PersonalCare[[#This Row],[Actual Cost]]</f>
        <v>50</v>
      </c>
      <c r="F61" s="18"/>
      <c r="G61" s="28" t="s">
        <v>78</v>
      </c>
      <c r="H61" s="28"/>
      <c r="I61" s="28"/>
      <c r="J61" s="25">
        <f>SUBTOTAL(109,Housing[Projected Cost],Transportation[Projected Cost],Insurance[Projected Cost],Food[Projected Cost],Pets[Projected Cost],PersonalCare[Projected Cost],Entertainment[Projected Cost],Loans[Projected Cost],Taxes[Projected Cost],Savings[Projected Cost],Gifts[Projected Cost],Legal[Projected Cost])</f>
        <v>3669.0400000000004</v>
      </c>
    </row>
    <row r="62" spans="1:10" ht="24.95" customHeight="1" x14ac:dyDescent="0.2">
      <c r="B62" s="15" t="s">
        <v>60</v>
      </c>
      <c r="C62" s="16"/>
      <c r="D62" s="16"/>
      <c r="E62" s="16">
        <f>PersonalCare[[#This Row],[Projected Cost]]-PersonalCare[[#This Row],[Actual Cost]]</f>
        <v>0</v>
      </c>
      <c r="F62" s="18"/>
      <c r="G62" s="28"/>
      <c r="H62" s="28"/>
      <c r="I62" s="28"/>
      <c r="J62" s="25"/>
    </row>
    <row r="63" spans="1:10" ht="24.95" customHeight="1" x14ac:dyDescent="0.2">
      <c r="B63" s="15" t="s">
        <v>61</v>
      </c>
      <c r="C63" s="16"/>
      <c r="D63" s="16"/>
      <c r="E63" s="16">
        <f>PersonalCare[[#This Row],[Projected Cost]]-PersonalCare[[#This Row],[Actual Cost]]</f>
        <v>0</v>
      </c>
      <c r="F63" s="18"/>
      <c r="G63" s="28" t="s">
        <v>79</v>
      </c>
      <c r="H63" s="28"/>
      <c r="I63" s="28"/>
      <c r="J63" s="25">
        <f>SUBTOTAL(109,Housing[Actual Cost],Transportation[Actual Cost],Insurance[Actual Cost],Food[Actual Cost],Pets[Actual Cost],PersonalCare[Actual Cost],Entertainment[Actual Cost],Loans[Actual Cost],Taxes[Actual Cost],Savings[Actual Cost],Gifts[Actual Cost],Legal[Actual Cost])</f>
        <v>2998.3900000000003</v>
      </c>
    </row>
    <row r="64" spans="1:10" ht="24.95" customHeight="1" x14ac:dyDescent="0.2">
      <c r="B64" s="15" t="s">
        <v>62</v>
      </c>
      <c r="C64" s="16"/>
      <c r="D64" s="16"/>
      <c r="E64" s="16">
        <f>PersonalCare[[#This Row],[Projected Cost]]-PersonalCare[[#This Row],[Actual Cost]]</f>
        <v>0</v>
      </c>
      <c r="F64" s="18"/>
      <c r="G64" s="28"/>
      <c r="H64" s="28"/>
      <c r="I64" s="28"/>
      <c r="J64" s="25"/>
    </row>
    <row r="65" spans="2:10" ht="24.95" customHeight="1" x14ac:dyDescent="0.2">
      <c r="B65" s="15" t="s">
        <v>19</v>
      </c>
      <c r="C65" s="16">
        <v>50</v>
      </c>
      <c r="D65" s="16">
        <v>0</v>
      </c>
      <c r="E65" s="16">
        <f>PersonalCare[[#This Row],[Projected Cost]]-PersonalCare[[#This Row],[Actual Cost]]</f>
        <v>50</v>
      </c>
      <c r="F65" s="18"/>
      <c r="G65" s="28" t="s">
        <v>80</v>
      </c>
      <c r="H65" s="28"/>
      <c r="I65" s="28"/>
      <c r="J65" s="25">
        <f>J61-J63</f>
        <v>670.65000000000009</v>
      </c>
    </row>
    <row r="66" spans="2:10" ht="24.95" customHeight="1" x14ac:dyDescent="0.2">
      <c r="B66" s="19" t="s">
        <v>63</v>
      </c>
      <c r="C66" s="16">
        <f>SUBTOTAL(109,PersonalCare[Projected Cost])</f>
        <v>200</v>
      </c>
      <c r="D66" s="16">
        <f>SUBTOTAL(109,PersonalCare[Actual Cost])</f>
        <v>75</v>
      </c>
      <c r="E66" s="16">
        <f>SUBTOTAL(109,PersonalCare[Difference])</f>
        <v>125</v>
      </c>
      <c r="F66" s="18"/>
      <c r="G66" s="28"/>
      <c r="H66" s="28"/>
      <c r="I66" s="28"/>
      <c r="J66" s="25"/>
    </row>
    <row r="67" spans="2:10" x14ac:dyDescent="0.2">
      <c r="B67" s="26"/>
      <c r="C67" s="26"/>
      <c r="D67" s="26"/>
      <c r="E67" s="26"/>
    </row>
    <row r="70" spans="2:10" ht="31.5" customHeight="1" x14ac:dyDescent="0.2">
      <c r="B70" s="23" t="s">
        <v>104</v>
      </c>
      <c r="C70" s="17" t="s">
        <v>92</v>
      </c>
      <c r="D70" s="17" t="s">
        <v>93</v>
      </c>
      <c r="E70" s="17" t="s">
        <v>94</v>
      </c>
      <c r="G70" s="23" t="s">
        <v>118</v>
      </c>
      <c r="H70" s="17" t="s">
        <v>92</v>
      </c>
      <c r="I70" s="17" t="s">
        <v>93</v>
      </c>
      <c r="J70" s="17" t="s">
        <v>94</v>
      </c>
    </row>
    <row r="71" spans="2:10" ht="24.95" customHeight="1" x14ac:dyDescent="0.2">
      <c r="B71" s="17" t="s">
        <v>97</v>
      </c>
      <c r="C71" s="22">
        <v>7120.29</v>
      </c>
      <c r="D71" s="22">
        <v>265</v>
      </c>
      <c r="E71" s="22">
        <f>Loans16[[#This Row],[Balance]]-Loans16[[#This Row],[Payment]]</f>
        <v>6855.29</v>
      </c>
      <c r="G71" s="17" t="s">
        <v>116</v>
      </c>
      <c r="H71" s="22">
        <v>5</v>
      </c>
      <c r="I71" s="22">
        <v>0</v>
      </c>
      <c r="J71" s="22">
        <f>Loans1618[[#This Row],[Balance]]+Loans1618[[#This Row],[Payment]]</f>
        <v>5</v>
      </c>
    </row>
    <row r="72" spans="2:10" ht="24.95" customHeight="1" x14ac:dyDescent="0.2">
      <c r="B72" s="15" t="s">
        <v>98</v>
      </c>
      <c r="C72" s="16">
        <v>432.14</v>
      </c>
      <c r="D72" s="16">
        <f>25-2.78</f>
        <v>22.22</v>
      </c>
      <c r="E72" s="16">
        <f>Loans16[[#This Row],[Balance]]-Loans16[[#This Row],[Payment]]</f>
        <v>409.91999999999996</v>
      </c>
      <c r="G72" s="15" t="s">
        <v>128</v>
      </c>
      <c r="H72" s="16">
        <v>6.11</v>
      </c>
      <c r="I72" s="16">
        <v>100.03</v>
      </c>
      <c r="J72" s="22">
        <f>Loans1618[[#This Row],[Balance]]+Loans1618[[#This Row],[Payment]]</f>
        <v>106.14</v>
      </c>
    </row>
    <row r="73" spans="2:10" ht="24.95" customHeight="1" x14ac:dyDescent="0.2">
      <c r="B73" s="15" t="s">
        <v>99</v>
      </c>
      <c r="C73" s="16">
        <v>9940.69</v>
      </c>
      <c r="D73" s="16">
        <v>0</v>
      </c>
      <c r="E73" s="16">
        <f>Loans16[[#This Row],[Balance]]-Loans16[[#This Row],[Payment]]</f>
        <v>9940.69</v>
      </c>
      <c r="G73" s="15" t="s">
        <v>117</v>
      </c>
      <c r="H73" s="16">
        <v>701.09</v>
      </c>
      <c r="I73" s="16">
        <v>-469.24</v>
      </c>
      <c r="J73" s="22">
        <f>Loans1618[[#This Row],[Balance]]+Loans1618[[#This Row],[Payment]]</f>
        <v>231.85000000000002</v>
      </c>
    </row>
    <row r="74" spans="2:10" ht="24.95" customHeight="1" x14ac:dyDescent="0.2">
      <c r="B74" s="15" t="s">
        <v>25</v>
      </c>
      <c r="C74" s="16">
        <v>27903.25</v>
      </c>
      <c r="D74" s="16">
        <v>0</v>
      </c>
      <c r="E74" s="16">
        <f>Loans16[[#This Row],[Balance]]-Loans16[[#This Row],[Payment]]</f>
        <v>27903.25</v>
      </c>
      <c r="G74" s="15" t="s">
        <v>141</v>
      </c>
      <c r="H74" s="16">
        <v>145.58000000000001</v>
      </c>
      <c r="I74" s="16">
        <v>0</v>
      </c>
      <c r="J74" s="22">
        <f>Loans1618[[#This Row],[Balance]]+Loans1618[[#This Row],[Payment]]</f>
        <v>145.58000000000001</v>
      </c>
    </row>
    <row r="75" spans="2:10" ht="24.95" customHeight="1" x14ac:dyDescent="0.2">
      <c r="B75" s="15" t="s">
        <v>25</v>
      </c>
      <c r="C75" s="16">
        <v>44878.46</v>
      </c>
      <c r="D75" s="16">
        <v>0</v>
      </c>
      <c r="E75" s="16">
        <f>Loans16[[#This Row],[Balance]]-Loans16[[#This Row],[Payment]]</f>
        <v>44878.46</v>
      </c>
      <c r="G75" s="15" t="s">
        <v>142</v>
      </c>
      <c r="H75" s="16">
        <v>1678.05</v>
      </c>
      <c r="I75" s="16">
        <v>0</v>
      </c>
      <c r="J75" s="22">
        <f>Loans1618[[#This Row],[Balance]]+Loans1618[[#This Row],[Payment]]</f>
        <v>1678.05</v>
      </c>
    </row>
    <row r="76" spans="2:10" ht="24.95" customHeight="1" x14ac:dyDescent="0.2">
      <c r="B76" s="15" t="s">
        <v>108</v>
      </c>
      <c r="C76" s="16">
        <v>840.67</v>
      </c>
      <c r="D76" s="16">
        <v>27</v>
      </c>
      <c r="E76" s="16">
        <f>Loans16[[#This Row],[Balance]]-Loans16[[#This Row],[Payment]]</f>
        <v>813.67</v>
      </c>
      <c r="G76" s="15">
        <v>403</v>
      </c>
      <c r="H76" s="16">
        <v>205.09</v>
      </c>
      <c r="I76" s="16">
        <v>112</v>
      </c>
      <c r="J76" s="22">
        <f>Loans1618[[#This Row],[Balance]]+Loans1618[[#This Row],[Payment]]</f>
        <v>317.09000000000003</v>
      </c>
    </row>
    <row r="77" spans="2:10" ht="24.95" customHeight="1" x14ac:dyDescent="0.2">
      <c r="B77" s="15" t="s">
        <v>109</v>
      </c>
      <c r="C77" s="16">
        <v>4625.0600000000004</v>
      </c>
      <c r="D77" s="16">
        <v>100</v>
      </c>
      <c r="E77" s="16">
        <f>Loans16[[#This Row],[Balance]]-Loans16[[#This Row],[Payment]]</f>
        <v>4525.0600000000004</v>
      </c>
      <c r="G77" s="15" t="s">
        <v>120</v>
      </c>
      <c r="H77" s="16">
        <v>55.16</v>
      </c>
      <c r="I77" s="16">
        <v>0</v>
      </c>
      <c r="J77" s="22">
        <f>Loans1618[[#This Row],[Balance]]+Loans1618[[#This Row],[Payment]]</f>
        <v>55.16</v>
      </c>
    </row>
    <row r="78" spans="2:10" ht="24.95" customHeight="1" x14ac:dyDescent="0.2">
      <c r="B78" s="15" t="s">
        <v>111</v>
      </c>
      <c r="C78" s="16">
        <v>193.87</v>
      </c>
      <c r="D78" s="16">
        <v>0</v>
      </c>
      <c r="E78" s="16">
        <f>Loans16[[#This Row],[Balance]]-Loans16[[#This Row],[Payment]]</f>
        <v>193.87</v>
      </c>
      <c r="G78" s="15" t="s">
        <v>131</v>
      </c>
      <c r="H78" s="16">
        <v>2774</v>
      </c>
      <c r="I78" s="16">
        <v>0</v>
      </c>
      <c r="J78" s="22">
        <f>Loans1618[[#This Row],[Balance]]+Loans1618[[#This Row],[Payment]]</f>
        <v>2774</v>
      </c>
    </row>
    <row r="79" spans="2:10" ht="24.95" customHeight="1" x14ac:dyDescent="0.2">
      <c r="B79" s="15" t="s">
        <v>112</v>
      </c>
      <c r="C79" s="16">
        <v>44.67</v>
      </c>
      <c r="D79" s="16">
        <v>44.67</v>
      </c>
      <c r="E79" s="16">
        <f>Loans16[[#This Row],[Balance]]-Loans16[[#This Row],[Payment]]</f>
        <v>0</v>
      </c>
      <c r="G79" s="15"/>
      <c r="H79" s="16"/>
      <c r="I79" s="16"/>
      <c r="J79" s="22">
        <f>Loans1618[[#This Row],[Balance]]+Loans1618[[#This Row],[Payment]]</f>
        <v>0</v>
      </c>
    </row>
    <row r="80" spans="2:10" ht="24.95" customHeight="1" x14ac:dyDescent="0.2">
      <c r="B80" s="15" t="s">
        <v>105</v>
      </c>
      <c r="C80" s="16">
        <v>1935.08</v>
      </c>
      <c r="D80" s="16">
        <v>25</v>
      </c>
      <c r="E80" s="16">
        <f>Loans16[[#This Row],[Balance]]-Loans16[[#This Row],[Payment]]</f>
        <v>1910.08</v>
      </c>
      <c r="G80" s="15"/>
      <c r="H80" s="16"/>
      <c r="I80" s="16"/>
      <c r="J80" s="22">
        <f>Loans1618[[#This Row],[Balance]]+Loans1618[[#This Row],[Payment]]</f>
        <v>0</v>
      </c>
    </row>
    <row r="81" spans="2:10" ht="24.95" customHeight="1" x14ac:dyDescent="0.2">
      <c r="B81" s="15" t="s">
        <v>113</v>
      </c>
      <c r="C81" s="16">
        <v>834.04</v>
      </c>
      <c r="D81" s="16">
        <v>25</v>
      </c>
      <c r="E81" s="16">
        <f>Loans16[[#This Row],[Balance]]-Loans16[[#This Row],[Payment]]</f>
        <v>809.04</v>
      </c>
      <c r="G81" s="15"/>
      <c r="H81" s="16"/>
      <c r="I81" s="16"/>
      <c r="J81" s="22">
        <f>Loans1618[[#This Row],[Balance]]+Loans1618[[#This Row],[Payment]]</f>
        <v>0</v>
      </c>
    </row>
    <row r="82" spans="2:10" ht="24.95" customHeight="1" x14ac:dyDescent="0.2">
      <c r="B82" s="15" t="s">
        <v>114</v>
      </c>
      <c r="C82" s="16">
        <v>4000</v>
      </c>
      <c r="D82" s="16">
        <v>0</v>
      </c>
      <c r="E82" s="16">
        <f>Loans16[[#This Row],[Balance]]-Loans16[[#This Row],[Payment]]</f>
        <v>4000</v>
      </c>
      <c r="G82" s="15"/>
      <c r="H82" s="16"/>
      <c r="I82" s="16"/>
      <c r="J82" s="22">
        <f>Loans1618[[#This Row],[Balance]]+Loans1618[[#This Row],[Payment]]</f>
        <v>0</v>
      </c>
    </row>
    <row r="83" spans="2:10" ht="24.95" customHeight="1" x14ac:dyDescent="0.2">
      <c r="B83" s="15" t="s">
        <v>96</v>
      </c>
      <c r="C83" s="16">
        <v>1035.3</v>
      </c>
      <c r="D83" s="16">
        <f>209.53-2.16</f>
        <v>207.37</v>
      </c>
      <c r="E83" s="16">
        <f>Loans16[[#This Row],[Balance]]-Loans16[[#This Row],[Payment]]</f>
        <v>827.93</v>
      </c>
      <c r="G83" s="15"/>
      <c r="H83" s="16"/>
      <c r="I83" s="16"/>
      <c r="J83" s="22">
        <f>Loans1618[[#This Row],[Balance]]+Loans1618[[#This Row],[Payment]]</f>
        <v>0</v>
      </c>
    </row>
    <row r="84" spans="2:10" ht="24.95" customHeight="1" x14ac:dyDescent="0.2">
      <c r="B84" s="19" t="s">
        <v>63</v>
      </c>
      <c r="C84" s="16">
        <f>SUBTOTAL(109,Loans16[Balance])</f>
        <v>103783.51999999999</v>
      </c>
      <c r="D84" s="16">
        <f>SUBTOTAL(109,Loans16[Payment])</f>
        <v>716.26</v>
      </c>
      <c r="E84" s="16">
        <f>SUBTOTAL(109,Loans16[New Balance])</f>
        <v>103067.25999999998</v>
      </c>
      <c r="G84" s="19" t="s">
        <v>63</v>
      </c>
      <c r="H84" s="16">
        <f>SUBTOTAL(109,Loans1618[Balance])</f>
        <v>5570.08</v>
      </c>
      <c r="I84" s="16">
        <f>SUBTOTAL(109,Loans1618[Payment])</f>
        <v>-257.21000000000004</v>
      </c>
      <c r="J84" s="16">
        <f>SUBTOTAL(109,Loans1618[New Balance])</f>
        <v>5312.87</v>
      </c>
    </row>
  </sheetData>
  <mergeCells count="27">
    <mergeCell ref="B2:J2"/>
    <mergeCell ref="G34:J34"/>
    <mergeCell ref="G61:I62"/>
    <mergeCell ref="G25:J25"/>
    <mergeCell ref="E4:G5"/>
    <mergeCell ref="E6:G7"/>
    <mergeCell ref="E8:G9"/>
    <mergeCell ref="B26:E26"/>
    <mergeCell ref="B36:E36"/>
    <mergeCell ref="B43:E43"/>
    <mergeCell ref="B49:E49"/>
    <mergeCell ref="B57:E57"/>
    <mergeCell ref="B4:C4"/>
    <mergeCell ref="B9:C9"/>
    <mergeCell ref="H4:H5"/>
    <mergeCell ref="H6:H7"/>
    <mergeCell ref="H8:H9"/>
    <mergeCell ref="B67:E67"/>
    <mergeCell ref="G60:J60"/>
    <mergeCell ref="G53:J53"/>
    <mergeCell ref="G47:J47"/>
    <mergeCell ref="G41:J41"/>
    <mergeCell ref="G65:I66"/>
    <mergeCell ref="J65:J66"/>
    <mergeCell ref="J61:J62"/>
    <mergeCell ref="J63:J64"/>
    <mergeCell ref="G63:I64"/>
  </mergeCells>
  <dataValidations count="12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7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4." sqref="A9" xr:uid="{23FC07BB-1058-4403-A6BB-F2E3DAB6391D}"/>
    <dataValidation allowBlank="1" showInputMessage="1" showErrorMessage="1" prompt="Enter details in Housing table starting in cell at right and in Entertainment table starting in cell G14. Next instruction is in cell A27." sqref="A14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27" xr:uid="{AFC8D67D-8805-4E04-8494-156CF7945383}"/>
    <dataValidation allowBlank="1" showInputMessage="1" showErrorMessage="1" prompt="Enter details in Insurance table starting in cell at right and in Taxes table starting in cell G35. Next instruction is in cell A44." sqref="A37" xr:uid="{34699D58-6783-4DA8-AD00-EB6D5B4F4886}"/>
    <dataValidation allowBlank="1" showInputMessage="1" showErrorMessage="1" prompt="Enter details in Food table starting in cell at right and in Savings table starting in cell G42. Next instruction is in cell A50." sqref="A44" xr:uid="{E10C94B7-CAAB-4591-99E4-5A50789CA061}"/>
    <dataValidation allowBlank="1" showInputMessage="1" showErrorMessage="1" prompt="Enter details in Pets table starting in cell at right and in Gifts table starting in cell G48. Next instruction is in cell A58." sqref="A50" xr:uid="{2288A180-A788-4190-A6AF-985B4E7FF023}"/>
    <dataValidation allowBlank="1" showInputMessage="1" showErrorMessage="1" prompt="Enter details in Personal Care table starting in cell at right and in Legal table starting in cell G54. Next instruction is in cell A61." sqref="A58" xr:uid="{4D40684C-D56F-4273-B2CC-5C8947747B1A}"/>
    <dataValidation allowBlank="1" showInputMessage="1" showErrorMessage="1" prompt="Total Projected Cost is auto calculated in cell J61, Total Actual Cost in J63, and Total Difference in J65." sqref="A61" xr:uid="{7663E59F-1158-4833-8ADA-EE341AD75E0A}"/>
  </dataValidations>
  <printOptions horizontalCentered="1"/>
  <pageMargins left="0.4" right="0.4" top="0.4" bottom="0.4" header="0.3" footer="0.3"/>
  <pageSetup scale="56" fitToHeight="0" orientation="portrait" horizontalDpi="4294967293" verticalDpi="4294967293" r:id="rId1"/>
  <headerFooter differentFirst="1">
    <oddFooter>Page &amp;P of &amp;N</oddFooter>
  </headerFooter>
  <ignoredErrors>
    <ignoredError sqref="J15:J23 E28:E34 J27:J32 J36:J39 E38:E41 J43:J45 J49:J51 J55:J56 J61:J64 E51:E55 J58" emptyCellReference="1"/>
    <ignoredError sqref="H37:H38" calculatedColumn="1"/>
  </ignoredErrors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2F4B-3948-4C14-BF35-DD3D4D797169}">
  <sheetPr>
    <tabColor theme="4"/>
    <pageSetUpPr autoPageBreaks="0" fitToPage="1"/>
  </sheetPr>
  <dimension ref="A1:J85"/>
  <sheetViews>
    <sheetView showGridLines="0" topLeftCell="A31" zoomScaleNormal="100" workbookViewId="0">
      <selection activeCell="N12" sqref="N12"/>
    </sheetView>
  </sheetViews>
  <sheetFormatPr defaultRowHeight="12.75" x14ac:dyDescent="0.2"/>
  <cols>
    <col min="1" max="1" width="2.625" style="5" customWidth="1"/>
    <col min="2" max="2" width="32.75" customWidth="1"/>
    <col min="3" max="3" width="15.875" customWidth="1"/>
    <col min="4" max="4" width="12.875" customWidth="1"/>
    <col min="5" max="5" width="14.375" customWidth="1"/>
    <col min="6" max="6" width="2.625" customWidth="1"/>
    <col min="7" max="7" width="30.625" customWidth="1"/>
    <col min="8" max="8" width="15.875" customWidth="1"/>
    <col min="9" max="9" width="13.5" customWidth="1"/>
    <col min="10" max="10" width="18.125" customWidth="1"/>
    <col min="11" max="11" width="2.625" customWidth="1"/>
  </cols>
  <sheetData>
    <row r="1" spans="1:10" s="1" customFormat="1" ht="14.25" x14ac:dyDescent="0.2">
      <c r="A1" s="4" t="s">
        <v>69</v>
      </c>
    </row>
    <row r="2" spans="1:10" s="1" customFormat="1" ht="71.25" customHeight="1" x14ac:dyDescent="0.2">
      <c r="A2" s="20" t="s">
        <v>77</v>
      </c>
      <c r="B2" s="29" t="s">
        <v>121</v>
      </c>
      <c r="C2" s="29"/>
      <c r="D2" s="29"/>
      <c r="E2" s="29"/>
      <c r="F2" s="29"/>
      <c r="G2" s="29"/>
      <c r="H2" s="29"/>
      <c r="I2" s="29"/>
      <c r="J2" s="29"/>
    </row>
    <row r="4" spans="1:10" ht="24.95" customHeight="1" x14ac:dyDescent="0.2">
      <c r="A4" s="5" t="s">
        <v>88</v>
      </c>
      <c r="B4" s="30" t="s">
        <v>72</v>
      </c>
      <c r="C4" s="31"/>
      <c r="D4" s="8"/>
      <c r="E4" s="28" t="s">
        <v>74</v>
      </c>
      <c r="F4" s="28"/>
      <c r="G4" s="28"/>
      <c r="H4" s="25">
        <f>C7-J62</f>
        <v>0</v>
      </c>
    </row>
    <row r="5" spans="1:10" ht="24.95" customHeight="1" x14ac:dyDescent="0.2">
      <c r="B5" s="12" t="s">
        <v>0</v>
      </c>
      <c r="C5" s="13"/>
      <c r="E5" s="28"/>
      <c r="F5" s="28"/>
      <c r="G5" s="28"/>
      <c r="H5" s="25"/>
      <c r="I5" s="9"/>
    </row>
    <row r="6" spans="1:10" ht="24.95" customHeight="1" x14ac:dyDescent="0.2">
      <c r="B6" s="12" t="s">
        <v>1</v>
      </c>
      <c r="C6" s="13"/>
      <c r="E6" s="28" t="s">
        <v>75</v>
      </c>
      <c r="F6" s="28"/>
      <c r="G6" s="28"/>
      <c r="H6" s="25">
        <f>C12-J64</f>
        <v>0</v>
      </c>
      <c r="I6" s="9"/>
    </row>
    <row r="7" spans="1:10" ht="24.95" customHeight="1" x14ac:dyDescent="0.2">
      <c r="A7" s="5" t="s">
        <v>89</v>
      </c>
      <c r="B7" s="12" t="s">
        <v>2</v>
      </c>
      <c r="C7" s="14"/>
      <c r="E7" s="28"/>
      <c r="F7" s="28"/>
      <c r="G7" s="28"/>
      <c r="H7" s="25"/>
      <c r="I7" s="9"/>
    </row>
    <row r="8" spans="1:10" ht="24.95" customHeight="1" x14ac:dyDescent="0.2">
      <c r="B8" s="2"/>
      <c r="C8" s="2"/>
      <c r="D8" s="2"/>
      <c r="E8" s="28" t="s">
        <v>76</v>
      </c>
      <c r="F8" s="28"/>
      <c r="G8" s="28"/>
      <c r="H8" s="25">
        <f>H6-H4</f>
        <v>0</v>
      </c>
      <c r="I8" s="35" t="s">
        <v>135</v>
      </c>
      <c r="J8" s="36"/>
    </row>
    <row r="9" spans="1:10" ht="24.95" customHeight="1" x14ac:dyDescent="0.2">
      <c r="A9" s="5" t="s">
        <v>81</v>
      </c>
      <c r="B9" s="30" t="s">
        <v>73</v>
      </c>
      <c r="C9" s="32"/>
      <c r="D9" s="8"/>
      <c r="E9" s="33"/>
      <c r="F9" s="33"/>
      <c r="G9" s="33"/>
      <c r="H9" s="34"/>
      <c r="I9" s="37" t="s">
        <v>134</v>
      </c>
      <c r="J9" s="38"/>
    </row>
    <row r="10" spans="1:10" ht="24.95" customHeight="1" x14ac:dyDescent="0.2">
      <c r="B10" s="12" t="s">
        <v>0</v>
      </c>
      <c r="C10" s="13"/>
      <c r="E10" s="39" t="s">
        <v>136</v>
      </c>
      <c r="F10" s="40"/>
      <c r="G10" s="40"/>
      <c r="H10" s="41"/>
      <c r="I10" s="9"/>
    </row>
    <row r="11" spans="1:10" ht="24.95" customHeight="1" x14ac:dyDescent="0.2">
      <c r="B11" s="12" t="s">
        <v>1</v>
      </c>
      <c r="C11" s="13"/>
      <c r="E11" s="42"/>
      <c r="F11" s="43"/>
      <c r="G11" s="43"/>
      <c r="H11" s="44"/>
      <c r="I11" s="9"/>
    </row>
    <row r="12" spans="1:10" ht="24.95" customHeight="1" x14ac:dyDescent="0.2">
      <c r="B12" s="12" t="s">
        <v>2</v>
      </c>
      <c r="C12" s="14">
        <f>SUM(C10:C11)</f>
        <v>0</v>
      </c>
    </row>
    <row r="14" spans="1:10" ht="24.95" customHeight="1" x14ac:dyDescent="0.2">
      <c r="A14" s="5" t="s">
        <v>82</v>
      </c>
      <c r="B14" s="17" t="s">
        <v>3</v>
      </c>
      <c r="C14" s="17" t="s">
        <v>4</v>
      </c>
      <c r="D14" s="17" t="s">
        <v>5</v>
      </c>
      <c r="E14" s="17" t="s">
        <v>6</v>
      </c>
      <c r="F14" s="18"/>
      <c r="G14" s="17" t="s">
        <v>7</v>
      </c>
      <c r="H14" s="17" t="s">
        <v>4</v>
      </c>
      <c r="I14" s="17" t="s">
        <v>5</v>
      </c>
      <c r="J14" s="17" t="s">
        <v>6</v>
      </c>
    </row>
    <row r="15" spans="1:10" ht="24.95" customHeight="1" x14ac:dyDescent="0.2">
      <c r="B15" s="15" t="s">
        <v>139</v>
      </c>
      <c r="C15" s="16"/>
      <c r="D15" s="24"/>
      <c r="E15" s="16"/>
      <c r="F15" s="18"/>
      <c r="G15" s="15" t="s">
        <v>8</v>
      </c>
      <c r="H15" s="16"/>
      <c r="I15" s="24"/>
      <c r="J15" s="16"/>
    </row>
    <row r="16" spans="1:10" ht="24.95" customHeight="1" x14ac:dyDescent="0.2">
      <c r="B16" s="15" t="s">
        <v>9</v>
      </c>
      <c r="C16" s="16"/>
      <c r="D16" s="24"/>
      <c r="E16" s="16"/>
      <c r="F16" s="18"/>
      <c r="G16" s="15" t="s">
        <v>10</v>
      </c>
      <c r="H16" s="16"/>
      <c r="I16" s="24"/>
      <c r="J16" s="16"/>
    </row>
    <row r="17" spans="1:10" ht="24.95" customHeight="1" x14ac:dyDescent="0.2">
      <c r="B17" s="15" t="s">
        <v>11</v>
      </c>
      <c r="C17" s="16"/>
      <c r="D17" s="24"/>
      <c r="E17" s="16"/>
      <c r="F17" s="18"/>
      <c r="G17" s="15" t="s">
        <v>12</v>
      </c>
      <c r="H17" s="16"/>
      <c r="I17" s="24"/>
      <c r="J17" s="16"/>
    </row>
    <row r="18" spans="1:10" ht="24.95" customHeight="1" x14ac:dyDescent="0.2">
      <c r="B18" s="15" t="s">
        <v>13</v>
      </c>
      <c r="C18" s="16"/>
      <c r="D18" s="24"/>
      <c r="E18" s="16"/>
      <c r="F18" s="18"/>
      <c r="G18" s="15" t="s">
        <v>14</v>
      </c>
      <c r="H18" s="16"/>
      <c r="I18" s="24"/>
      <c r="J18" s="16"/>
    </row>
    <row r="19" spans="1:10" ht="24.95" customHeight="1" x14ac:dyDescent="0.2">
      <c r="B19" s="15" t="s">
        <v>91</v>
      </c>
      <c r="C19" s="16"/>
      <c r="D19" s="24"/>
      <c r="E19" s="16"/>
      <c r="F19" s="18"/>
      <c r="G19" s="15" t="s">
        <v>15</v>
      </c>
      <c r="H19" s="16"/>
      <c r="I19" s="24"/>
      <c r="J19" s="16"/>
    </row>
    <row r="20" spans="1:10" ht="24.95" customHeight="1" x14ac:dyDescent="0.2">
      <c r="B20" s="15" t="s">
        <v>16</v>
      </c>
      <c r="C20" s="16"/>
      <c r="D20" s="24"/>
      <c r="E20" s="16"/>
      <c r="F20" s="18"/>
      <c r="G20" s="15" t="s">
        <v>17</v>
      </c>
      <c r="H20" s="16"/>
      <c r="I20" s="24"/>
      <c r="J20" s="16"/>
    </row>
    <row r="21" spans="1:10" ht="24.95" customHeight="1" x14ac:dyDescent="0.2">
      <c r="B21" s="15" t="s">
        <v>18</v>
      </c>
      <c r="C21" s="16"/>
      <c r="D21" s="24"/>
      <c r="E21" s="16"/>
      <c r="F21" s="18"/>
      <c r="G21" s="15" t="s">
        <v>19</v>
      </c>
      <c r="H21" s="16"/>
      <c r="I21" s="24"/>
      <c r="J21" s="16"/>
    </row>
    <row r="22" spans="1:10" ht="24.95" customHeight="1" x14ac:dyDescent="0.2">
      <c r="B22" s="15" t="s">
        <v>20</v>
      </c>
      <c r="C22" s="16"/>
      <c r="D22" s="24"/>
      <c r="E22" s="16"/>
      <c r="F22" s="18"/>
      <c r="G22" s="15" t="s">
        <v>19</v>
      </c>
      <c r="H22" s="16"/>
      <c r="I22" s="24"/>
      <c r="J22" s="16"/>
    </row>
    <row r="23" spans="1:10" ht="24.95" customHeight="1" x14ac:dyDescent="0.2">
      <c r="B23" s="15" t="s">
        <v>101</v>
      </c>
      <c r="C23" s="16"/>
      <c r="D23" s="24"/>
      <c r="E23" s="16"/>
      <c r="F23" s="18"/>
      <c r="G23" s="15" t="s">
        <v>19</v>
      </c>
      <c r="H23" s="16"/>
      <c r="I23" s="24"/>
      <c r="J23" s="16"/>
    </row>
    <row r="24" spans="1:10" ht="24.95" customHeight="1" x14ac:dyDescent="0.2">
      <c r="B24" s="15" t="s">
        <v>100</v>
      </c>
      <c r="C24" s="16"/>
      <c r="D24" s="24"/>
      <c r="E24" s="16"/>
      <c r="F24" s="18"/>
      <c r="G24" s="19" t="s">
        <v>63</v>
      </c>
      <c r="H24" s="16"/>
      <c r="I24" s="24"/>
      <c r="J24" s="16"/>
    </row>
    <row r="25" spans="1:10" ht="24.95" customHeight="1" x14ac:dyDescent="0.2">
      <c r="B25" s="15"/>
      <c r="C25" s="16"/>
      <c r="D25" s="24"/>
      <c r="E25" s="16"/>
      <c r="F25" s="18"/>
      <c r="G25" s="27"/>
      <c r="H25" s="27"/>
      <c r="I25" s="27"/>
      <c r="J25" s="27"/>
    </row>
    <row r="26" spans="1:10" ht="24.95" customHeight="1" x14ac:dyDescent="0.2">
      <c r="B26" s="19" t="s">
        <v>63</v>
      </c>
      <c r="C26" s="16"/>
      <c r="D26" s="24"/>
      <c r="E26" s="16"/>
      <c r="F26" s="18"/>
      <c r="G26" s="17" t="s">
        <v>21</v>
      </c>
      <c r="H26" s="17" t="s">
        <v>4</v>
      </c>
      <c r="I26" s="17" t="s">
        <v>5</v>
      </c>
      <c r="J26" s="17" t="s">
        <v>6</v>
      </c>
    </row>
    <row r="27" spans="1:10" ht="24.95" customHeight="1" x14ac:dyDescent="0.2">
      <c r="A27" s="5" t="s">
        <v>83</v>
      </c>
      <c r="B27" s="27"/>
      <c r="C27" s="27"/>
      <c r="D27" s="27"/>
      <c r="E27" s="27"/>
      <c r="F27" s="18"/>
      <c r="G27" s="15" t="s">
        <v>23</v>
      </c>
      <c r="H27" s="16"/>
      <c r="I27" s="24"/>
      <c r="J27" s="16"/>
    </row>
    <row r="28" spans="1:10" ht="24.95" customHeight="1" x14ac:dyDescent="0.2">
      <c r="B28" s="17" t="s">
        <v>22</v>
      </c>
      <c r="C28" s="17" t="s">
        <v>4</v>
      </c>
      <c r="D28" s="17" t="s">
        <v>5</v>
      </c>
      <c r="E28" s="17" t="s">
        <v>6</v>
      </c>
      <c r="F28" s="18"/>
      <c r="G28" s="15" t="s">
        <v>25</v>
      </c>
      <c r="H28" s="16"/>
      <c r="I28" s="24"/>
      <c r="J28" s="16"/>
    </row>
    <row r="29" spans="1:10" ht="24.95" customHeight="1" x14ac:dyDescent="0.2">
      <c r="B29" s="15" t="s">
        <v>24</v>
      </c>
      <c r="C29" s="16"/>
      <c r="D29" s="24"/>
      <c r="E29" s="16"/>
      <c r="F29" s="18"/>
      <c r="G29" s="15" t="s">
        <v>132</v>
      </c>
      <c r="H29" s="16"/>
      <c r="I29" s="24"/>
      <c r="J29" s="16"/>
    </row>
    <row r="30" spans="1:10" ht="24.95" customHeight="1" x14ac:dyDescent="0.2">
      <c r="B30" s="15" t="s">
        <v>26</v>
      </c>
      <c r="C30" s="16"/>
      <c r="D30" s="24"/>
      <c r="E30" s="16"/>
      <c r="F30" s="18"/>
      <c r="G30" s="15" t="s">
        <v>132</v>
      </c>
      <c r="H30" s="16"/>
      <c r="I30" s="24"/>
      <c r="J30" s="16"/>
    </row>
    <row r="31" spans="1:10" ht="24.95" customHeight="1" x14ac:dyDescent="0.2">
      <c r="B31" s="15" t="s">
        <v>27</v>
      </c>
      <c r="C31" s="16"/>
      <c r="D31" s="24"/>
      <c r="E31" s="16"/>
      <c r="F31" s="18"/>
      <c r="G31" s="15" t="s">
        <v>132</v>
      </c>
      <c r="H31" s="16"/>
      <c r="I31" s="24"/>
      <c r="J31" s="16"/>
    </row>
    <row r="32" spans="1:10" ht="24.95" customHeight="1" x14ac:dyDescent="0.2">
      <c r="B32" s="15" t="s">
        <v>28</v>
      </c>
      <c r="C32" s="16"/>
      <c r="D32" s="24"/>
      <c r="E32" s="16"/>
      <c r="F32" s="18"/>
      <c r="G32" s="15" t="s">
        <v>132</v>
      </c>
      <c r="H32" s="16"/>
      <c r="I32" s="24"/>
      <c r="J32" s="16"/>
    </row>
    <row r="33" spans="1:10" ht="24.95" customHeight="1" x14ac:dyDescent="0.2">
      <c r="B33" s="15" t="s">
        <v>29</v>
      </c>
      <c r="C33" s="16"/>
      <c r="D33" s="24"/>
      <c r="E33" s="16"/>
      <c r="F33" s="18"/>
      <c r="G33" s="15" t="s">
        <v>132</v>
      </c>
      <c r="H33" s="16"/>
      <c r="I33" s="24"/>
      <c r="J33" s="16"/>
    </row>
    <row r="34" spans="1:10" ht="24.95" customHeight="1" x14ac:dyDescent="0.2">
      <c r="B34" s="15" t="s">
        <v>30</v>
      </c>
      <c r="C34" s="16"/>
      <c r="D34" s="24"/>
      <c r="E34" s="16"/>
      <c r="F34" s="18"/>
      <c r="G34" s="19" t="s">
        <v>63</v>
      </c>
      <c r="H34" s="16"/>
      <c r="I34" s="24"/>
      <c r="J34" s="16"/>
    </row>
    <row r="35" spans="1:10" ht="24.95" customHeight="1" x14ac:dyDescent="0.2">
      <c r="B35" s="15" t="s">
        <v>19</v>
      </c>
      <c r="C35" s="16"/>
      <c r="D35" s="24"/>
      <c r="E35" s="16"/>
      <c r="F35" s="18"/>
      <c r="G35" s="27"/>
      <c r="H35" s="27"/>
      <c r="I35" s="27"/>
      <c r="J35" s="27"/>
    </row>
    <row r="36" spans="1:10" ht="24.95" customHeight="1" x14ac:dyDescent="0.2">
      <c r="B36" s="19" t="s">
        <v>63</v>
      </c>
      <c r="C36" s="16"/>
      <c r="D36" s="24"/>
      <c r="E36" s="16"/>
      <c r="F36" s="18"/>
      <c r="G36" s="17" t="s">
        <v>31</v>
      </c>
      <c r="H36" s="17" t="s">
        <v>4</v>
      </c>
      <c r="I36" s="17" t="s">
        <v>5</v>
      </c>
      <c r="J36" s="17" t="s">
        <v>6</v>
      </c>
    </row>
    <row r="37" spans="1:10" ht="24.95" customHeight="1" x14ac:dyDescent="0.2">
      <c r="A37" s="5" t="s">
        <v>90</v>
      </c>
      <c r="B37" s="27"/>
      <c r="C37" s="27"/>
      <c r="D37" s="27"/>
      <c r="E37" s="27"/>
      <c r="F37" s="18"/>
      <c r="G37" s="15" t="s">
        <v>32</v>
      </c>
      <c r="H37" s="16"/>
      <c r="I37" s="24"/>
      <c r="J37" s="16"/>
    </row>
    <row r="38" spans="1:10" ht="24.95" customHeight="1" x14ac:dyDescent="0.2">
      <c r="B38" s="17" t="s">
        <v>33</v>
      </c>
      <c r="C38" s="17" t="s">
        <v>4</v>
      </c>
      <c r="D38" s="17" t="s">
        <v>5</v>
      </c>
      <c r="E38" s="17" t="s">
        <v>6</v>
      </c>
      <c r="F38" s="18"/>
      <c r="G38" s="15" t="s">
        <v>34</v>
      </c>
      <c r="H38" s="16"/>
      <c r="I38" s="24"/>
      <c r="J38" s="16"/>
    </row>
    <row r="39" spans="1:10" ht="24.95" customHeight="1" x14ac:dyDescent="0.2">
      <c r="B39" s="15" t="s">
        <v>35</v>
      </c>
      <c r="C39" s="16"/>
      <c r="D39" s="24"/>
      <c r="E39" s="16"/>
      <c r="F39" s="18"/>
      <c r="G39" s="15" t="s">
        <v>102</v>
      </c>
      <c r="H39" s="16"/>
      <c r="I39" s="24"/>
      <c r="J39" s="16"/>
    </row>
    <row r="40" spans="1:10" ht="24.95" customHeight="1" x14ac:dyDescent="0.2">
      <c r="B40" s="15" t="s">
        <v>36</v>
      </c>
      <c r="C40" s="16"/>
      <c r="D40" s="24"/>
      <c r="E40" s="16"/>
      <c r="F40" s="18"/>
      <c r="G40" s="15" t="s">
        <v>103</v>
      </c>
      <c r="H40" s="16"/>
      <c r="I40" s="24"/>
      <c r="J40" s="16"/>
    </row>
    <row r="41" spans="1:10" ht="24.95" customHeight="1" x14ac:dyDescent="0.2">
      <c r="B41" s="15" t="s">
        <v>37</v>
      </c>
      <c r="C41" s="16"/>
      <c r="D41" s="24"/>
      <c r="E41" s="16"/>
      <c r="F41" s="18"/>
      <c r="G41" s="19" t="s">
        <v>63</v>
      </c>
      <c r="H41" s="16"/>
      <c r="I41" s="24"/>
      <c r="J41" s="16"/>
    </row>
    <row r="42" spans="1:10" ht="24.95" customHeight="1" x14ac:dyDescent="0.2">
      <c r="B42" s="15" t="s">
        <v>19</v>
      </c>
      <c r="C42" s="16"/>
      <c r="D42" s="24"/>
      <c r="E42" s="16"/>
      <c r="F42" s="18"/>
      <c r="G42" s="27"/>
      <c r="H42" s="27"/>
      <c r="I42" s="27"/>
      <c r="J42" s="27"/>
    </row>
    <row r="43" spans="1:10" ht="24.95" customHeight="1" x14ac:dyDescent="0.2">
      <c r="B43" s="19" t="s">
        <v>63</v>
      </c>
      <c r="C43" s="16"/>
      <c r="D43" s="24"/>
      <c r="E43" s="16"/>
      <c r="F43" s="18"/>
      <c r="G43" s="17" t="s">
        <v>38</v>
      </c>
      <c r="H43" s="17" t="s">
        <v>4</v>
      </c>
      <c r="I43" s="17" t="s">
        <v>5</v>
      </c>
      <c r="J43" s="17" t="s">
        <v>6</v>
      </c>
    </row>
    <row r="44" spans="1:10" ht="24.95" customHeight="1" x14ac:dyDescent="0.2">
      <c r="A44" s="5" t="s">
        <v>84</v>
      </c>
      <c r="B44" s="27"/>
      <c r="C44" s="27"/>
      <c r="D44" s="27"/>
      <c r="E44" s="27"/>
      <c r="F44" s="18"/>
      <c r="G44" s="15" t="s">
        <v>39</v>
      </c>
      <c r="H44" s="16"/>
      <c r="I44" s="24"/>
      <c r="J44" s="16"/>
    </row>
    <row r="45" spans="1:10" ht="24.95" customHeight="1" x14ac:dyDescent="0.2">
      <c r="B45" s="17" t="s">
        <v>40</v>
      </c>
      <c r="C45" s="17" t="s">
        <v>4</v>
      </c>
      <c r="D45" s="17" t="s">
        <v>5</v>
      </c>
      <c r="E45" s="17" t="s">
        <v>6</v>
      </c>
      <c r="F45" s="18"/>
      <c r="G45" s="15" t="s">
        <v>41</v>
      </c>
      <c r="H45" s="16"/>
      <c r="I45" s="24"/>
      <c r="J45" s="16"/>
    </row>
    <row r="46" spans="1:10" ht="24.95" customHeight="1" x14ac:dyDescent="0.2">
      <c r="B46" s="15" t="s">
        <v>42</v>
      </c>
      <c r="C46" s="16"/>
      <c r="D46" s="24"/>
      <c r="E46" s="16"/>
      <c r="F46" s="18"/>
      <c r="G46" s="15" t="s">
        <v>138</v>
      </c>
      <c r="H46" s="16"/>
      <c r="I46" s="24"/>
      <c r="J46" s="16"/>
    </row>
    <row r="47" spans="1:10" ht="24.95" customHeight="1" x14ac:dyDescent="0.2">
      <c r="B47" s="15" t="s">
        <v>43</v>
      </c>
      <c r="C47" s="16"/>
      <c r="D47" s="24"/>
      <c r="E47" s="16"/>
      <c r="F47" s="18"/>
      <c r="G47" s="19" t="s">
        <v>63</v>
      </c>
      <c r="H47" s="16"/>
      <c r="I47" s="24"/>
      <c r="J47" s="16"/>
    </row>
    <row r="48" spans="1:10" ht="24.95" customHeight="1" x14ac:dyDescent="0.2">
      <c r="B48" s="15" t="s">
        <v>19</v>
      </c>
      <c r="C48" s="16"/>
      <c r="D48" s="24"/>
      <c r="E48" s="16"/>
      <c r="F48" s="18"/>
      <c r="G48" s="27"/>
      <c r="H48" s="27"/>
      <c r="I48" s="27"/>
      <c r="J48" s="27"/>
    </row>
    <row r="49" spans="1:10" ht="24.95" customHeight="1" x14ac:dyDescent="0.2">
      <c r="B49" s="19" t="s">
        <v>63</v>
      </c>
      <c r="C49" s="16"/>
      <c r="D49" s="24"/>
      <c r="E49" s="16"/>
      <c r="F49" s="18"/>
      <c r="G49" s="17" t="s">
        <v>44</v>
      </c>
      <c r="H49" s="17" t="s">
        <v>4</v>
      </c>
      <c r="I49" s="17" t="s">
        <v>5</v>
      </c>
      <c r="J49" s="17" t="s">
        <v>6</v>
      </c>
    </row>
    <row r="50" spans="1:10" ht="24.95" customHeight="1" x14ac:dyDescent="0.2">
      <c r="A50" s="5" t="s">
        <v>85</v>
      </c>
      <c r="B50" s="27"/>
      <c r="C50" s="27"/>
      <c r="D50" s="27"/>
      <c r="E50" s="27"/>
      <c r="F50" s="18"/>
      <c r="G50" s="15" t="s">
        <v>45</v>
      </c>
      <c r="H50" s="16"/>
      <c r="I50" s="24"/>
      <c r="J50" s="16"/>
    </row>
    <row r="51" spans="1:10" ht="24.95" customHeight="1" x14ac:dyDescent="0.2">
      <c r="B51" s="17" t="s">
        <v>46</v>
      </c>
      <c r="C51" s="17" t="s">
        <v>4</v>
      </c>
      <c r="D51" s="17" t="s">
        <v>5</v>
      </c>
      <c r="E51" s="17" t="s">
        <v>6</v>
      </c>
      <c r="F51" s="18"/>
      <c r="G51" s="15" t="s">
        <v>47</v>
      </c>
      <c r="H51" s="16"/>
      <c r="I51" s="24"/>
      <c r="J51" s="16"/>
    </row>
    <row r="52" spans="1:10" ht="24.95" customHeight="1" x14ac:dyDescent="0.2">
      <c r="B52" s="15" t="s">
        <v>48</v>
      </c>
      <c r="C52" s="16"/>
      <c r="D52" s="24"/>
      <c r="E52" s="16"/>
      <c r="F52" s="18"/>
      <c r="G52" s="15" t="s">
        <v>49</v>
      </c>
      <c r="H52" s="16"/>
      <c r="I52" s="24"/>
      <c r="J52" s="16"/>
    </row>
    <row r="53" spans="1:10" ht="24.95" customHeight="1" x14ac:dyDescent="0.2">
      <c r="B53" s="15" t="s">
        <v>50</v>
      </c>
      <c r="C53" s="16"/>
      <c r="D53" s="24"/>
      <c r="E53" s="16"/>
      <c r="F53" s="18"/>
      <c r="G53" s="19" t="s">
        <v>63</v>
      </c>
      <c r="H53" s="16"/>
      <c r="I53" s="24"/>
      <c r="J53" s="16"/>
    </row>
    <row r="54" spans="1:10" ht="24.95" customHeight="1" x14ac:dyDescent="0.2">
      <c r="B54" s="15" t="s">
        <v>51</v>
      </c>
      <c r="C54" s="16"/>
      <c r="D54" s="24"/>
      <c r="E54" s="16"/>
      <c r="F54" s="18"/>
      <c r="G54" s="27"/>
      <c r="H54" s="27"/>
      <c r="I54" s="27"/>
      <c r="J54" s="27"/>
    </row>
    <row r="55" spans="1:10" ht="24.95" customHeight="1" x14ac:dyDescent="0.2">
      <c r="B55" s="15" t="s">
        <v>52</v>
      </c>
      <c r="C55" s="16"/>
      <c r="D55" s="24"/>
      <c r="E55" s="16"/>
      <c r="F55" s="18"/>
      <c r="G55" s="17" t="s">
        <v>53</v>
      </c>
      <c r="H55" s="17" t="s">
        <v>4</v>
      </c>
      <c r="I55" s="17" t="s">
        <v>5</v>
      </c>
      <c r="J55" s="17" t="s">
        <v>6</v>
      </c>
    </row>
    <row r="56" spans="1:10" ht="24.95" customHeight="1" x14ac:dyDescent="0.2">
      <c r="B56" s="15" t="s">
        <v>19</v>
      </c>
      <c r="C56" s="16"/>
      <c r="D56" s="24"/>
      <c r="E56" s="16"/>
      <c r="F56" s="18"/>
      <c r="G56" s="15" t="s">
        <v>54</v>
      </c>
      <c r="H56" s="16"/>
      <c r="I56" s="24"/>
      <c r="J56" s="16"/>
    </row>
    <row r="57" spans="1:10" ht="24.95" customHeight="1" x14ac:dyDescent="0.2">
      <c r="B57" s="19" t="s">
        <v>63</v>
      </c>
      <c r="C57" s="16"/>
      <c r="D57" s="24"/>
      <c r="E57" s="16"/>
      <c r="F57" s="18"/>
      <c r="G57" s="15" t="s">
        <v>55</v>
      </c>
      <c r="H57" s="16"/>
      <c r="I57" s="24"/>
      <c r="J57" s="16"/>
    </row>
    <row r="58" spans="1:10" ht="24.95" customHeight="1" x14ac:dyDescent="0.2">
      <c r="A58" s="5" t="s">
        <v>86</v>
      </c>
      <c r="B58" s="27"/>
      <c r="C58" s="27"/>
      <c r="D58" s="27"/>
      <c r="E58" s="27"/>
      <c r="F58" s="18"/>
      <c r="G58" s="15" t="s">
        <v>56</v>
      </c>
      <c r="H58" s="16"/>
      <c r="I58" s="24"/>
      <c r="J58" s="16"/>
    </row>
    <row r="59" spans="1:10" ht="24.95" customHeight="1" x14ac:dyDescent="0.2">
      <c r="B59" s="17" t="s">
        <v>57</v>
      </c>
      <c r="C59" s="17" t="s">
        <v>4</v>
      </c>
      <c r="D59" s="17" t="s">
        <v>5</v>
      </c>
      <c r="E59" s="17" t="s">
        <v>6</v>
      </c>
      <c r="F59" s="18"/>
      <c r="G59" s="15" t="s">
        <v>19</v>
      </c>
      <c r="H59" s="16"/>
      <c r="I59" s="24"/>
      <c r="J59" s="16"/>
    </row>
    <row r="60" spans="1:10" ht="24.95" customHeight="1" x14ac:dyDescent="0.2">
      <c r="B60" s="15" t="s">
        <v>50</v>
      </c>
      <c r="C60" s="16"/>
      <c r="D60" s="24"/>
      <c r="E60" s="16"/>
      <c r="F60" s="18"/>
      <c r="G60" s="19" t="s">
        <v>63</v>
      </c>
      <c r="H60" s="16"/>
      <c r="I60" s="24"/>
      <c r="J60" s="16"/>
    </row>
    <row r="61" spans="1:10" ht="24.95" customHeight="1" x14ac:dyDescent="0.2">
      <c r="A61" s="5" t="s">
        <v>87</v>
      </c>
      <c r="B61" s="15" t="s">
        <v>58</v>
      </c>
      <c r="C61" s="16"/>
      <c r="D61" s="24"/>
      <c r="E61" s="16"/>
      <c r="F61" s="18"/>
      <c r="G61" s="27"/>
      <c r="H61" s="27"/>
      <c r="I61" s="27"/>
      <c r="J61" s="27"/>
    </row>
    <row r="62" spans="1:10" ht="24.95" customHeight="1" x14ac:dyDescent="0.2">
      <c r="B62" s="15" t="s">
        <v>59</v>
      </c>
      <c r="C62" s="16"/>
      <c r="D62" s="24"/>
      <c r="E62" s="16"/>
      <c r="F62" s="18"/>
      <c r="G62" s="28" t="s">
        <v>78</v>
      </c>
      <c r="H62" s="28"/>
      <c r="I62" s="28"/>
      <c r="J62" s="25"/>
    </row>
    <row r="63" spans="1:10" ht="24.95" customHeight="1" x14ac:dyDescent="0.2">
      <c r="B63" s="15" t="s">
        <v>60</v>
      </c>
      <c r="C63" s="16"/>
      <c r="D63" s="24"/>
      <c r="E63" s="16"/>
      <c r="F63" s="18"/>
      <c r="G63" s="28"/>
      <c r="H63" s="28"/>
      <c r="I63" s="28"/>
      <c r="J63" s="25"/>
    </row>
    <row r="64" spans="1:10" ht="24.95" customHeight="1" x14ac:dyDescent="0.2">
      <c r="B64" s="15" t="s">
        <v>61</v>
      </c>
      <c r="C64" s="16"/>
      <c r="D64" s="24"/>
      <c r="E64" s="16"/>
      <c r="F64" s="18"/>
      <c r="G64" s="28" t="s">
        <v>79</v>
      </c>
      <c r="H64" s="28"/>
      <c r="I64" s="28"/>
      <c r="J64" s="25"/>
    </row>
    <row r="65" spans="2:10" ht="24.95" customHeight="1" x14ac:dyDescent="0.2">
      <c r="B65" s="15" t="s">
        <v>62</v>
      </c>
      <c r="C65" s="16"/>
      <c r="D65" s="24"/>
      <c r="E65" s="16"/>
      <c r="F65" s="18"/>
      <c r="G65" s="28"/>
      <c r="H65" s="28"/>
      <c r="I65" s="28"/>
      <c r="J65" s="25"/>
    </row>
    <row r="66" spans="2:10" ht="24.95" customHeight="1" x14ac:dyDescent="0.2">
      <c r="B66" s="15" t="s">
        <v>19</v>
      </c>
      <c r="C66" s="16"/>
      <c r="D66" s="24"/>
      <c r="E66" s="16"/>
      <c r="F66" s="18"/>
      <c r="G66" s="28" t="s">
        <v>80</v>
      </c>
      <c r="H66" s="28"/>
      <c r="I66" s="28"/>
      <c r="J66" s="25"/>
    </row>
    <row r="67" spans="2:10" ht="29.25" customHeight="1" x14ac:dyDescent="0.2">
      <c r="B67" s="19" t="s">
        <v>63</v>
      </c>
      <c r="C67" s="16"/>
      <c r="D67" s="24"/>
      <c r="E67" s="16"/>
      <c r="G67" s="28"/>
      <c r="H67" s="28"/>
      <c r="I67" s="28"/>
      <c r="J67" s="25"/>
    </row>
    <row r="68" spans="2:10" x14ac:dyDescent="0.2">
      <c r="B68" s="26"/>
      <c r="C68" s="26"/>
      <c r="D68" s="26"/>
      <c r="E68" s="26"/>
    </row>
    <row r="70" spans="2:10" ht="6.75" customHeight="1" x14ac:dyDescent="0.2"/>
    <row r="71" spans="2:10" ht="34.5" customHeight="1" x14ac:dyDescent="0.2">
      <c r="B71" s="23" t="s">
        <v>125</v>
      </c>
      <c r="C71" s="17" t="s">
        <v>92</v>
      </c>
      <c r="D71" s="17" t="s">
        <v>93</v>
      </c>
      <c r="E71" s="17" t="s">
        <v>94</v>
      </c>
      <c r="G71" s="23" t="s">
        <v>137</v>
      </c>
      <c r="H71" s="17" t="s">
        <v>92</v>
      </c>
      <c r="I71" s="17" t="s">
        <v>93</v>
      </c>
      <c r="J71" s="17" t="s">
        <v>94</v>
      </c>
    </row>
    <row r="72" spans="2:10" ht="24.95" customHeight="1" x14ac:dyDescent="0.2">
      <c r="B72" s="17" t="s">
        <v>126</v>
      </c>
      <c r="C72" s="22"/>
      <c r="D72" s="22"/>
      <c r="E72" s="22"/>
      <c r="G72" s="17" t="s">
        <v>116</v>
      </c>
      <c r="H72" s="22"/>
      <c r="I72" s="22"/>
      <c r="J72" s="22"/>
    </row>
    <row r="73" spans="2:10" ht="24.95" customHeight="1" x14ac:dyDescent="0.2">
      <c r="B73" s="15" t="s">
        <v>122</v>
      </c>
      <c r="C73" s="22"/>
      <c r="D73" s="22"/>
      <c r="E73" s="22"/>
      <c r="G73" s="15" t="s">
        <v>128</v>
      </c>
      <c r="H73" s="16"/>
      <c r="I73" s="16"/>
      <c r="J73" s="22"/>
    </row>
    <row r="74" spans="2:10" ht="24.95" customHeight="1" x14ac:dyDescent="0.2">
      <c r="B74" s="15" t="s">
        <v>123</v>
      </c>
      <c r="C74" s="22"/>
      <c r="D74" s="22"/>
      <c r="E74" s="22"/>
      <c r="G74" s="15" t="s">
        <v>130</v>
      </c>
      <c r="H74" s="16"/>
      <c r="I74" s="16"/>
      <c r="J74" s="22"/>
    </row>
    <row r="75" spans="2:10" ht="24.95" customHeight="1" x14ac:dyDescent="0.2">
      <c r="B75" s="15" t="s">
        <v>124</v>
      </c>
      <c r="C75" s="22"/>
      <c r="D75" s="22"/>
      <c r="E75" s="22"/>
      <c r="G75" s="15" t="s">
        <v>129</v>
      </c>
      <c r="H75" s="16"/>
      <c r="I75" s="16"/>
      <c r="J75" s="22"/>
    </row>
    <row r="76" spans="2:10" ht="24.95" customHeight="1" x14ac:dyDescent="0.2">
      <c r="B76" s="15" t="s">
        <v>124</v>
      </c>
      <c r="C76" s="22"/>
      <c r="D76" s="22"/>
      <c r="E76" s="22"/>
      <c r="G76" s="15" t="s">
        <v>131</v>
      </c>
      <c r="H76" s="16"/>
      <c r="I76" s="16"/>
      <c r="J76" s="22"/>
    </row>
    <row r="77" spans="2:10" ht="24.95" customHeight="1" x14ac:dyDescent="0.2">
      <c r="B77" s="15" t="s">
        <v>127</v>
      </c>
      <c r="C77" s="22"/>
      <c r="D77" s="22"/>
      <c r="E77" s="22"/>
      <c r="G77" s="15" t="s">
        <v>133</v>
      </c>
      <c r="H77" s="16"/>
      <c r="I77" s="16"/>
      <c r="J77" s="22"/>
    </row>
    <row r="78" spans="2:10" ht="24.95" customHeight="1" x14ac:dyDescent="0.2">
      <c r="B78" s="15" t="s">
        <v>127</v>
      </c>
      <c r="C78" s="22"/>
      <c r="D78" s="22"/>
      <c r="E78" s="22"/>
      <c r="G78" s="15" t="s">
        <v>133</v>
      </c>
      <c r="H78" s="16"/>
      <c r="I78" s="16"/>
      <c r="J78" s="22"/>
    </row>
    <row r="79" spans="2:10" ht="24.95" customHeight="1" x14ac:dyDescent="0.2">
      <c r="B79" s="15" t="s">
        <v>127</v>
      </c>
      <c r="C79" s="22"/>
      <c r="D79" s="22"/>
      <c r="E79" s="22"/>
      <c r="G79" s="15" t="s">
        <v>133</v>
      </c>
      <c r="H79" s="16"/>
      <c r="I79" s="16"/>
      <c r="J79" s="22"/>
    </row>
    <row r="80" spans="2:10" ht="24.95" customHeight="1" x14ac:dyDescent="0.2">
      <c r="B80" s="15" t="s">
        <v>127</v>
      </c>
      <c r="C80" s="22"/>
      <c r="D80" s="22"/>
      <c r="E80" s="22"/>
      <c r="G80" s="15" t="s">
        <v>133</v>
      </c>
      <c r="H80" s="16"/>
      <c r="I80" s="16"/>
      <c r="J80" s="22"/>
    </row>
    <row r="81" spans="2:10" ht="24.95" customHeight="1" x14ac:dyDescent="0.2">
      <c r="B81" s="15" t="s">
        <v>127</v>
      </c>
      <c r="C81" s="22"/>
      <c r="D81" s="22"/>
      <c r="E81" s="22"/>
      <c r="G81" s="15" t="s">
        <v>133</v>
      </c>
      <c r="H81" s="16"/>
      <c r="I81" s="16"/>
      <c r="J81" s="22"/>
    </row>
    <row r="82" spans="2:10" ht="24.95" customHeight="1" x14ac:dyDescent="0.2">
      <c r="B82" s="15" t="s">
        <v>127</v>
      </c>
      <c r="C82" s="22"/>
      <c r="D82" s="22"/>
      <c r="E82" s="22"/>
      <c r="G82" s="15" t="s">
        <v>133</v>
      </c>
      <c r="H82" s="16"/>
      <c r="I82" s="16"/>
      <c r="J82" s="22"/>
    </row>
    <row r="83" spans="2:10" ht="24.95" customHeight="1" x14ac:dyDescent="0.2">
      <c r="B83" s="15" t="s">
        <v>127</v>
      </c>
      <c r="C83" s="22"/>
      <c r="D83" s="22"/>
      <c r="E83" s="22"/>
      <c r="G83" s="15" t="s">
        <v>133</v>
      </c>
      <c r="H83" s="16"/>
      <c r="I83" s="16"/>
      <c r="J83" s="22"/>
    </row>
    <row r="84" spans="2:10" ht="24.95" customHeight="1" x14ac:dyDescent="0.2">
      <c r="B84" s="15" t="s">
        <v>127</v>
      </c>
      <c r="C84" s="22"/>
      <c r="D84" s="22"/>
      <c r="E84" s="22"/>
      <c r="G84" s="15" t="s">
        <v>133</v>
      </c>
      <c r="H84" s="16"/>
      <c r="I84" s="16"/>
      <c r="J84" s="22"/>
    </row>
    <row r="85" spans="2:10" ht="15.75" x14ac:dyDescent="0.2">
      <c r="B85" s="19" t="s">
        <v>63</v>
      </c>
      <c r="C85" s="16">
        <f>SUBTOTAL(109,Loans1628[Balance])</f>
        <v>0</v>
      </c>
      <c r="D85" s="16">
        <f>SUBTOTAL(109,Loans1628[Payment])</f>
        <v>0</v>
      </c>
      <c r="E85" s="16">
        <f>SUBTOTAL(109,Loans1628[New Balance])</f>
        <v>0</v>
      </c>
      <c r="G85" s="19" t="s">
        <v>63</v>
      </c>
      <c r="H85" s="16"/>
      <c r="I85" s="16"/>
      <c r="J85" s="16"/>
    </row>
  </sheetData>
  <mergeCells count="31">
    <mergeCell ref="B2:J2"/>
    <mergeCell ref="B4:C4"/>
    <mergeCell ref="E4:G5"/>
    <mergeCell ref="H4:H5"/>
    <mergeCell ref="E6:G7"/>
    <mergeCell ref="H6:H7"/>
    <mergeCell ref="G54:J54"/>
    <mergeCell ref="E8:G9"/>
    <mergeCell ref="H8:H9"/>
    <mergeCell ref="B9:C9"/>
    <mergeCell ref="G25:J25"/>
    <mergeCell ref="B27:E27"/>
    <mergeCell ref="G35:J35"/>
    <mergeCell ref="B37:E37"/>
    <mergeCell ref="G42:J42"/>
    <mergeCell ref="B44:E44"/>
    <mergeCell ref="G48:J48"/>
    <mergeCell ref="B50:E50"/>
    <mergeCell ref="I8:J8"/>
    <mergeCell ref="I9:J9"/>
    <mergeCell ref="E10:H10"/>
    <mergeCell ref="E11:H11"/>
    <mergeCell ref="G66:I67"/>
    <mergeCell ref="J66:J67"/>
    <mergeCell ref="B68:E68"/>
    <mergeCell ref="B58:E58"/>
    <mergeCell ref="G61:J61"/>
    <mergeCell ref="G62:I63"/>
    <mergeCell ref="J62:J63"/>
    <mergeCell ref="G64:I65"/>
    <mergeCell ref="J64:J65"/>
  </mergeCells>
  <dataValidations count="12">
    <dataValidation allowBlank="1" showInputMessage="1" showErrorMessage="1" prompt="Total Projected Cost is auto calculated in cell J61, Total Actual Cost in J63, and Total Difference in J65." sqref="A61" xr:uid="{67942643-666D-4FD8-A594-205E5C3365FA}"/>
    <dataValidation allowBlank="1" showInputMessage="1" showErrorMessage="1" prompt="Enter details in Personal Care table starting in cell at right and in Legal table starting in cell G54. Next instruction is in cell A61." sqref="A58" xr:uid="{A1FA04D9-753A-469E-89AA-0015938BA19B}"/>
    <dataValidation allowBlank="1" showInputMessage="1" showErrorMessage="1" prompt="Enter details in Pets table starting in cell at right and in Gifts table starting in cell G48. Next instruction is in cell A58." sqref="A50" xr:uid="{E6ED9AE6-C63E-4FF3-880F-26D1DAE3ABBF}"/>
    <dataValidation allowBlank="1" showInputMessage="1" showErrorMessage="1" prompt="Enter details in Food table starting in cell at right and in Savings table starting in cell G42. Next instruction is in cell A50." sqref="A44" xr:uid="{EEBE0DF2-E64B-48F2-B9D9-15988FEBA579}"/>
    <dataValidation allowBlank="1" showInputMessage="1" showErrorMessage="1" prompt="Enter details in Insurance table starting in cell at right and in Taxes table starting in cell G35. Next instruction is in cell A44." sqref="A37" xr:uid="{E11FDB54-5696-4B8D-AB04-3AEA3B664984}"/>
    <dataValidation allowBlank="1" showInputMessage="1" showErrorMessage="1" prompt="Enter details in Transportation table starting in cell at right and in Loans table starting in cell G26. Next instruction is in cell A37." sqref="A27" xr:uid="{741C4970-056D-4136-A6A2-E64F11A4B1FF}"/>
    <dataValidation allowBlank="1" showInputMessage="1" showErrorMessage="1" prompt="Enter details in Housing table starting in cell at right and in Entertainment table starting in cell G14. Next instruction is in cell A27." sqref="A14" xr:uid="{EAE64F07-8EE4-40A4-9127-FA46A8C2C5EA}"/>
    <dataValidation allowBlank="1" showInputMessage="1" showErrorMessage="1" prompt="Actual Monthly Income label is in cell at right. Enter Income 1 in cell C10 and Extra Income in C11 to calculate Total monthly income in C12. Next instruction is in cell A14." sqref="A9" xr:uid="{135AC4B3-1AD6-44B4-B6D1-6F464A032D2C}"/>
    <dataValidation allowBlank="1" showInputMessage="1" showErrorMessage="1" prompt="Projected Balance is auto calculated in cell H4, Actual Balance in H6, and Difference in H8. Next instruction is in cell A9." sqref="A7" xr:uid="{FE536368-C6D4-43AA-A6A8-36856E945742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E061D4E8-C69C-4960-AE74-0F44D235F24E}"/>
    <dataValidation allowBlank="1" showInputMessage="1" showErrorMessage="1" prompt="Title of this worksheet is in cell C2. Next instruction is in cell A4." sqref="A2" xr:uid="{78AE976A-A528-42A7-BC1F-C580E5E3809D}"/>
    <dataValidation allowBlank="1" showInputMessage="1" showErrorMessage="1" prompt="Create a Personal Monthly Budget in this worksheet. Helpful instructions on how to use this worksheet are in cells in this column. Arrow down to get started." sqref="A1" xr:uid="{96C69DFE-10DF-45C7-A4D6-E2A932A4D1B2}"/>
  </dataValidations>
  <printOptions horizontalCentered="1"/>
  <pageMargins left="0.4" right="0.4" top="0.4" bottom="0.4" header="0.3" footer="0.3"/>
  <pageSetup scale="54" fitToHeight="2" orientation="portrait" r:id="rId1"/>
  <headerFooter differentFirst="1">
    <oddFooter>Page &amp;P of &amp;N</oddFooter>
  </headerFooter>
  <rowBreaks count="1" manualBreakCount="1">
    <brk id="9" max="16383" man="1"/>
  </rowBreaks>
  <colBreaks count="1" manualBreakCount="1">
    <brk id="9" max="1048575" man="1"/>
  </colBreaks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46AF36-0E29-43D5-9042-907F679B3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4917D-B4E2-41EC-A344-CAB929C318ED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00D6369F-E7E4-4C61-9F47-33FFE80F8E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April 2020</vt:lpstr>
      <vt:lpstr>May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2019-03-18T20:41:36Z</dcterms:created>
  <dcterms:modified xsi:type="dcterms:W3CDTF">2026-02-05T22:49:01Z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